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88" yWindow="7296" windowWidth="15576" windowHeight="6492" tabRatio="443" activeTab="0"/>
  </bookViews>
  <sheets>
    <sheet name="Приложение" sheetId="1" r:id="rId1"/>
    <sheet name="Расшифровка" sheetId="2" r:id="rId2"/>
  </sheets>
  <definedNames>
    <definedName name="_xlnm._FilterDatabase" localSheetId="0" hidden="1">'Приложение'!$A$12:$H$483</definedName>
    <definedName name="_xlnm._FilterDatabase" localSheetId="1" hidden="1">'Расшифровка'!$A$8:$N$615</definedName>
    <definedName name="Z_006ADD7C_E802_4D65_A41F_B55AC6A6A05A_.wvu.FilterData">'Расшифровка'!$A$8:$H$614</definedName>
    <definedName name="Z_0464EBFD_3F49_42E1_BD02_7044926ECF7F_.wvu.FilterData">'Расшифровка'!$D$7:$E$614</definedName>
    <definedName name="Z_0647FD30_D4CD_4837_9676_B0E02A33935F_.wvu.FilterData">'Расшифровка'!$D$7:$E$614</definedName>
    <definedName name="Z_07609128_EFA7_488F_B12D_D032D0257859_.wvu.FilterData">'Расшифровка'!$A$8:$H$614</definedName>
    <definedName name="Z_07A36397_8586_4161_A4D8_DECE1B23E489_.wvu.FilterData">'Расшифровка'!$A$8:$H$614</definedName>
    <definedName name="Z_07FC8A13_0810_4BAF_8325_55C5DFF817F9_.wvu.FilterData">'Расшифровка'!$D$7:$E$614</definedName>
    <definedName name="Z_0CE90590_0A95_4C81_9DDE_8C8C7470F8D8_.wvu.FilterData">'Расшифровка'!$A$8:$H$614</definedName>
    <definedName name="Z_0D20FA8F_4937_4BDB_8369_C7948B6C77EC_.wvu.FilterData">'Расшифровка'!$A$8:$H$614</definedName>
    <definedName name="Z_0E97B562_1FE1_447A_985E_4CCDF60EF70F_.wvu.FilterData">'Расшифровка'!$A$8:$H$614</definedName>
    <definedName name="Z_1076A7E1_E470_48B9_9D5B_166BA5A3E897_.wvu.FilterData">'Расшифровка'!$A$8:$H$614</definedName>
    <definedName name="Z_1239E455_001E_4CD4_A93E_9D15D741E8E7_.wvu.FilterData">'Расшифровка'!$A$8:$H$614</definedName>
    <definedName name="Z_14A4D5E0_6E03_4DD5_9479_89AE66297826_.wvu.FilterData">'Расшифровка'!$D$7:$E$614</definedName>
    <definedName name="Z_1734A535_81ED_407A_BD78_6CCDE319575A_.wvu.FilterData">'Расшифровка'!$A$8:$H$614</definedName>
    <definedName name="Z_1F097DE4_57FA_4586_8807_ED95587D4C97_.wvu.FilterData">'Расшифровка'!$A$8:$H$614</definedName>
    <definedName name="Z_201D7B40_221F_4A85_ABE9_FDD1E5148928_.wvu.FilterData">'Расшифровка'!$A$8:$H$614</definedName>
    <definedName name="Z_2864E38C_14DB_4F86_B4C7_D0F7EF035D0E_.wvu.FilterData">'Расшифровка'!$A$8:$H$614</definedName>
    <definedName name="Z_2910131D_94E7_4D75_A34C_85AC1F782679_.wvu.FilterData">'Расшифровка'!$D$7:$E$614</definedName>
    <definedName name="Z_29E02EF4_E301_4665_A4D2_4609DF4B434F_.wvu.FilterData">'Расшифровка'!$D$7:$E$614</definedName>
    <definedName name="Z_2B5CCC7D_0734_4202_8B46_CD19DE51B161_.wvu.FilterData">'Расшифровка'!$D$7:$E$614</definedName>
    <definedName name="Z_2E3673E4_2777_4B3D_BB55_5512693807AF_.wvu.FilterData">'Расшифровка'!$A$8:$H$614</definedName>
    <definedName name="Z_35D8A88F_38EB_4434_9E41_07E85CA840C7_.wvu.FilterData">'Расшифровка'!$D$7:$E$614</definedName>
    <definedName name="Z_3A1FE15F_E517_48F8_9C4F_6D089FF106D5_.wvu.FilterData">'Расшифровка'!$D$7:$E$614</definedName>
    <definedName name="Z_3AA117EA_FDB7_4087_9144_49D12FA30F84_.wvu.FilterData">'Приложение'!$A$12:$F$12</definedName>
    <definedName name="Z_3AA117EA_FDB7_4087_9144_49D12FA30F84_.wvu.FilterData_1">'Расшифровка'!$A$8:$H$614</definedName>
    <definedName name="Z_3AA117EA_FDB7_4087_9144_49D12FA30F84_.wvu.PrintTitles">'Расшифровка'!$6:$7</definedName>
    <definedName name="Z_3B668FB7_A14C_4AC5_A2D8_2711828EE0C8_.wvu.Cols">('Расшифровка'!#REF!,'Расшифровка'!$I:$HL)</definedName>
    <definedName name="Z_3B668FB7_A14C_4AC5_A2D8_2711828EE0C8_.wvu.FilterData">'Расшифровка'!$D$7:$E$614</definedName>
    <definedName name="Z_3B668FB7_A14C_4AC5_A2D8_2711828EE0C8_.wvu.PrintTitles">'Расшифровка'!$6:$7</definedName>
    <definedName name="Z_3B668FB7_A14C_4AC5_A2D8_2711828EE0C8_.wvu.Rows">('Расшифровка'!#REF!,'Расшифровка'!$601:$3694)</definedName>
    <definedName name="Z_3B752EF8_C7D3_4112_BFB9_DA2B9CEE9CD9_.wvu.FilterData">'Расшифровка'!$D$7:$E$614</definedName>
    <definedName name="Z_45885D7C_5664_4007_8C46_A86C6C9F0D1C_.wvu.FilterData">'Расшифровка'!$D$7:$E$614</definedName>
    <definedName name="Z_46251BB9_3E5C_40CC_8D9E_1736F0CBF725_.wvu.FilterData">'Расшифровка'!$D$7:$E$614</definedName>
    <definedName name="Z_4886DE45_C4E9_4594_8F6E_32A964E68026_.wvu.FilterData">'Расшифровка'!$D$7:$E$614</definedName>
    <definedName name="Z_4DA07D4E_D4B8_40E6_894E_F5F0B7255681_.wvu.FilterData">'Расшифровка'!$A$8:$H$614</definedName>
    <definedName name="Z_4F128CCE_7CD9_43B5_9BD2_57023BCE1E88_.wvu.FilterData">'Расшифровка'!$A$8:$H$614</definedName>
    <definedName name="Z_4F8E92A4_E1CB_4B51_B692_6222BA7F7373_.wvu.FilterData">'Расшифровка'!$D$7:$E$614</definedName>
    <definedName name="Z_50AE0E97_AA2B_4B02_928D_30D9DB22ABAD_.wvu.FilterData">'Расшифровка'!$D$7:$E$614</definedName>
    <definedName name="Z_50EE820B_DA99_46DE_87A1_E7D1D5BF725F_.wvu.FilterData">'Приложение'!$A$12:$F$12</definedName>
    <definedName name="Z_50EE820B_DA99_46DE_87A1_E7D1D5BF725F_.wvu.FilterData_1">'Расшифровка'!$A$8:$H$614</definedName>
    <definedName name="Z_50EE820B_DA99_46DE_87A1_E7D1D5BF725F_.wvu.PrintTitles">'Приложение'!$10:$12</definedName>
    <definedName name="Z_50EE820B_DA99_46DE_87A1_E7D1D5BF725F_.wvu.PrintTitles_1">'Расшифровка'!$6:$7</definedName>
    <definedName name="Z_5318972A_C979_4EA7_8BB1_E33ACC702B50_.wvu.FilterData">'Расшифровка'!$A$8:$H$614</definedName>
    <definedName name="Z_535450CC_8F76_441D_A0BD_9EE8C2221254_.wvu.FilterData">'Расшифровка'!$D$7:$E$614</definedName>
    <definedName name="Z_54899BDA_E9C8_4370_94B3_25417781785E_.wvu.FilterData">'Расшифровка'!$A$8:$H$614</definedName>
    <definedName name="Z_548A9E86_4BA0_4D2E_AD31_9FC1DBA49FA7_.wvu.FilterData">'Расшифровка'!$D$7:$E$614</definedName>
    <definedName name="Z_550C183E_C924_4159_B10F_7806917C22FF_.wvu.FilterData">'Расшифровка'!$A$8:$H$614</definedName>
    <definedName name="Z_57B074A1_18E2_487B_AA79_E5746901AB2B_.wvu.Cols">'Расшифровка'!#REF!</definedName>
    <definedName name="Z_57B074A1_18E2_487B_AA79_E5746901AB2B_.wvu.FilterData">'Расшифровка'!$D$7:$E$614</definedName>
    <definedName name="Z_5807D419_626D_449D_A51D_20EC22513607_.wvu.FilterData">'Расшифровка'!$A$8:$H$614</definedName>
    <definedName name="Z_5E31A484_490C_490A_81A3_990C44C8F030_.wvu.FilterData">'Расшифровка'!$A$8:$H$614</definedName>
    <definedName name="Z_61F9AEB8_7ECE_4532_8AF2_20C14E1C152C_.wvu.FilterData">'Расшифровка'!$A$8:$H$614</definedName>
    <definedName name="Z_67C27CD8_8C50_4767_AA56_E72263F5EC65_.wvu.FilterData">'Расшифровка'!$A$8:$H$614</definedName>
    <definedName name="Z_732EC889_F19C_4D33_9E88_C54B64C70BFF_.wvu.FilterData">'Расшифровка'!$A$8:$H$614</definedName>
    <definedName name="Z_760AB9A8_29A1_4F9A_875B_A180882D7185_.wvu.FilterData">'Расшифровка'!$D$7:$E$614</definedName>
    <definedName name="Z_76471228_CF43_40D5_97FE_CBB60DDEEC50_.wvu.FilterData">'Расшифровка'!$A$8:$H$614</definedName>
    <definedName name="Z_895ACDBF_D47F_49E2_8E4E_54A2FA98EAF2_.wvu.FilterData">'Расшифровка'!$D$7:$E$614</definedName>
    <definedName name="Z_8B66FB9D_1061_4C39_820B_612DA35E1163_.wvu.FilterData">'Расшифровка'!$A$8:$H$614</definedName>
    <definedName name="Z_961DCC96_7AE7_415A_A228_26BC84354CF7_.wvu.FilterData">'Расшифровка'!$A$8:$H$614</definedName>
    <definedName name="Z_9EE30D70_2CD4_4B06_94A4_2AA309790940_.wvu.FilterData">'Расшифровка'!$A$8:$H$614</definedName>
    <definedName name="Z_A4B312E9_3E9D_4DC1_BE1D_20007F70F0FC_.wvu.FilterData">'Расшифровка'!$D$7:$E$614</definedName>
    <definedName name="Z_ABB1FD83_44F3_4295_933A_2F6DAE10C423_.wvu.FilterData">'Расшифровка'!$A$8:$H$614</definedName>
    <definedName name="Z_AE352E7A_ED12_4BAB_88D0_EC415F44B23D_.wvu.FilterData">'Расшифровка'!$D$7:$E$614</definedName>
    <definedName name="Z_AEFE519A_F273_4D2D_974A_3B2B39E0C23D_.wvu.FilterData">'Расшифровка'!$D$7:$E$614</definedName>
    <definedName name="Z_B375D2EC_45F0_4D70_95C6_37B4EF7FE20A_.wvu.FilterData">'Расшифровка'!$A$8:$H$614</definedName>
    <definedName name="Z_B9043F71_1D7B_4003_A62D_A281344D40FD_.wvu.FilterData">'Расшифровка'!$A$8:$H$614</definedName>
    <definedName name="Z_B9A5E5A4_BDF3_4DE1_A7ED_DC513F0B6479_.wvu.FilterData">'Расшифровка'!$A$8:$H$614</definedName>
    <definedName name="Z_B9CFAE3C_4549_4223_A8E7_6B9816F8351D_.wvu.FilterData">'Расшифровка'!$A$8:$H$614</definedName>
    <definedName name="Z_BB3AD58E_0C4B_46BE_A50E_230BA853A5E7_.wvu.FilterData">'Расшифровка'!$A$8:$H$614</definedName>
    <definedName name="Z_BC105E1F_EA20_4EA0_AD12_96E287DC9681_.wvu.FilterData">'Расшифровка'!$D$7:$E$614</definedName>
    <definedName name="Z_C086DD75_D392_4609_8AA3_77F16F2E389E_.wvu.FilterData">'Расшифровка'!$A$8:$H$614</definedName>
    <definedName name="Z_C3E1668A_D47D_405F_8165_0F3BD82C3765_.wvu.FilterData">'Расшифровка'!$D$7:$E$614</definedName>
    <definedName name="Z_C576EBD8_DFA9_41DF_9F4B_3DE3491F51D3_.wvu.FilterData">'Расшифровка'!$D$7:$E$614</definedName>
    <definedName name="Z_C5EC8D8F_B770_4A98_9DB4_31E3EE5F046F_.wvu.FilterData">'Расшифровка'!$D$7:$E$614</definedName>
    <definedName name="Z_C611CE89_B473_4344_AF81_88E26857DEBB_.wvu.FilterData">'Расшифровка'!$A$8:$H$614</definedName>
    <definedName name="Z_CAFC3446_92E7_44F5_8DFD_211FF9803D8D_.wvu.FilterData">'Расшифровка'!$A$8:$H$614</definedName>
    <definedName name="Z_CB27E4C2_D547_4419_87CF_9BD3B4F05F2F_.wvu.FilterData">'Расшифровка'!$A$8:$H$614</definedName>
    <definedName name="Z_CF040EA3_C9E1_427F_9866_A37F501E38A7_.wvu.FilterData">'Расшифровка'!$D$7:$E$614</definedName>
    <definedName name="Z_D468B74E_0303_475F_9893_420919D104C7_.wvu.FilterData">'Расшифровка'!$D$7:$E$614</definedName>
    <definedName name="Z_D7393872_5766_4D48_9623_218E5387A6EA_.wvu.FilterData">'Расшифровка'!$A$8:$H$614</definedName>
    <definedName name="Z_E4CDAB60_0890_4261_9E4E_E869B3F8DD1E_.wvu.FilterData">'Расшифровка'!$D$7:$E$614</definedName>
    <definedName name="Z_E58DB868_9B13_44EA_90A8_519777021948_.wvu.FilterData">'Расшифровка'!$D$7:$E$614</definedName>
    <definedName name="Z_E752A2EC_8E7A_4A48_B388_D960F2E32347_.wvu.FilterData">'Расшифровка'!$A$8:$H$614</definedName>
    <definedName name="Z_E8256D6A_EA00_4CB6_B701_8AF7F5BF4073_.wvu.FilterData">'Расшифровка'!$D$7:$E$614</definedName>
    <definedName name="Z_E9824414_680F_49AD_8204_016595ADBFE3_.wvu.FilterData">'Расшифровка'!$A$8:$H$614</definedName>
    <definedName name="Z_ED71FC48_F9BA_4AE3_83BD_70A50CB44832_.wvu.FilterData">'Расшифровка'!$D$7:$E$614</definedName>
    <definedName name="Z_FABF6FEC_7EC3_4786_BC00_ED5738EBBB03_.wvu.FilterData">'Расшифровка'!$D$7:$E$614</definedName>
    <definedName name="Z_FEEF8EA2_1394_49B6_87C5_01A27705D12B_.wvu.FilterData">'Расшифровка'!$A$8:$H$614</definedName>
    <definedName name="_xlnm.Print_Titles" localSheetId="0">'Приложение'!$10:$12</definedName>
    <definedName name="_xlnm.Print_Titles" localSheetId="1">'Расшифровка'!$6:$7</definedName>
  </definedNames>
  <calcPr fullCalcOnLoad="1"/>
</workbook>
</file>

<file path=xl/sharedStrings.xml><?xml version="1.0" encoding="utf-8"?>
<sst xmlns="http://schemas.openxmlformats.org/spreadsheetml/2006/main" count="4246" uniqueCount="811">
  <si>
    <t>Организация транспортного обслуживания населения в пригородном межмуниципальном сообщении на компенсацию льготного проезда учащимся, студентам и аспирантам из малообеспеченных семей за счет средств областного бюджета</t>
  </si>
  <si>
    <t>07 1 02 74000</t>
  </si>
  <si>
    <t xml:space="preserve">Выплата единовременной адресной помощи женщинам, находящимся в трудной жизненной ситуации и сохранившим беременность за счет средств областного бюджета </t>
  </si>
  <si>
    <t>07 1 02 R0840</t>
  </si>
  <si>
    <t>Ежемесячная денежная выплата в случае рождения третьего ребенка или последующих детей до достижения ребенком возраста трех лет  за счет средств вышестоящих бюджетов</t>
  </si>
  <si>
    <t>Основное мероприятие "Осуществление выплаты пенсии за выслугу лет лицам, замещавшим муниципальные должности и должности муниципальной службы города Белгорода"</t>
  </si>
  <si>
    <t>07 1 03</t>
  </si>
  <si>
    <t>07 1 03 10010</t>
  </si>
  <si>
    <t xml:space="preserve">Осуществление выплаты пенсии за выслугу лет лицам, замещавшим муниципальные должности и должности муниципальной службы города Белгорода  </t>
  </si>
  <si>
    <t>Основное мероприятие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Федерации"</t>
  </si>
  <si>
    <t>07 1 04</t>
  </si>
  <si>
    <t>07 1 04 20060</t>
  </si>
  <si>
    <t xml:space="preserve">Расходы на мероприятия по обеспечению равной доступности услуг общественного транспорта на территории соответствующего субъекта Российской Федерации для отдельных категорий граждан </t>
  </si>
  <si>
    <t>07 1 04 73820</t>
  </si>
  <si>
    <t xml:space="preserve"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за счет средств областного бюджета </t>
  </si>
  <si>
    <t>07 1 05</t>
  </si>
  <si>
    <t>07 1 05 00590</t>
  </si>
  <si>
    <t>Основное мероприятие "Осуществление полномочий по обеспечению права граждан на социальное обслуживание"</t>
  </si>
  <si>
    <t>07 1 06</t>
  </si>
  <si>
    <t>07 1 06 71590</t>
  </si>
  <si>
    <t>09 2 01</t>
  </si>
  <si>
    <t>09 2 01 00590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</si>
  <si>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вышестоящих бюджетов</t>
  </si>
  <si>
    <t>09 2 02</t>
  </si>
  <si>
    <t>09 2 02 20990</t>
  </si>
  <si>
    <t>Основное мероприятие "Реализация мероприятий, направленных на развитие  физической культуры и спорта"</t>
  </si>
  <si>
    <t>09 2 04</t>
  </si>
  <si>
    <t>09 2 04 L4950</t>
  </si>
  <si>
    <t>09 2 04 R4950</t>
  </si>
  <si>
    <t>Реализация мероприятий, направленных на развитие  физической культуры и спорта, за счет средств вышестоящих бюджетов</t>
  </si>
  <si>
    <t>09 3</t>
  </si>
  <si>
    <t>09 3 01</t>
  </si>
  <si>
    <t>09 3 01 00190</t>
  </si>
  <si>
    <t>Обеспечение функций органов власти городского округа "Город Белгород"</t>
  </si>
  <si>
    <t>Муниципальная программа "Обеспечение безопасности жизнедеятельности населения на территории городского округа "Город Белгород" на 2015 - 2020 годы"</t>
  </si>
  <si>
    <t>Подпрограмма "Профилактика преступлений и правонарушений"</t>
  </si>
  <si>
    <t>14</t>
  </si>
  <si>
    <t>10 1</t>
  </si>
  <si>
    <t>10 1 01</t>
  </si>
  <si>
    <t>10 1 01 00590</t>
  </si>
  <si>
    <t>10 1 02</t>
  </si>
  <si>
    <t>10 1 02 20990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</si>
  <si>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</t>
  </si>
  <si>
    <t>10 2</t>
  </si>
  <si>
    <t>10 2 01</t>
  </si>
  <si>
    <t xml:space="preserve">Осуществление полномочий по обеспечению права граждан на социальное обслуживание за счет средств областного бюджета </t>
  </si>
  <si>
    <t>07 1 07</t>
  </si>
  <si>
    <t>07 1 07 29990</t>
  </si>
  <si>
    <t>07 1 08</t>
  </si>
  <si>
    <t>07 1 08 20990</t>
  </si>
  <si>
    <t>07 1 08 L0270</t>
  </si>
  <si>
    <t>07 1 08 R0270</t>
  </si>
  <si>
    <t>Основное мероприятие "Реализация мероприятий по поддержке социально ориентированных некоммерческих организаций города"</t>
  </si>
  <si>
    <t>07 1 09</t>
  </si>
  <si>
    <t>07 1 09 60050</t>
  </si>
  <si>
    <t xml:space="preserve">Расходы на проведение мероприятий по поддержке социально ориентированных некоммерческих организаций города </t>
  </si>
  <si>
    <t>Подпрограмма "Пожизненное содержание одиноких престарелых граждан"</t>
  </si>
  <si>
    <t>07 2</t>
  </si>
  <si>
    <t>Основное мероприятие "Реализация мероприятий, связанных с пожизненным содержанием одиноких престарелых граждан"</t>
  </si>
  <si>
    <t>07 2 01</t>
  </si>
  <si>
    <t>07 2 01 21930</t>
  </si>
  <si>
    <t xml:space="preserve">Расходы на проведение мероприятий, связанных с пожизненным содержанием одиноких престарелых граждан </t>
  </si>
  <si>
    <t>Подпрограмма "Сохранение и укрепление семейных ценностей"</t>
  </si>
  <si>
    <t>07 3</t>
  </si>
  <si>
    <t>07 3 01</t>
  </si>
  <si>
    <t>07 3 01 20990</t>
  </si>
  <si>
    <t>Основное мероприятие "Реализация мероприятий  по социальной поддержке отдельных категорий населения"</t>
  </si>
  <si>
    <t>07 3 02</t>
  </si>
  <si>
    <t>07 3 02 21950</t>
  </si>
  <si>
    <t xml:space="preserve">Мероприятий по социальной поддержке отдельных категорий населения  </t>
  </si>
  <si>
    <t>Подпрограмма "Обеспечение реализации муниципальной программы"</t>
  </si>
  <si>
    <t>06</t>
  </si>
  <si>
    <t>07 4</t>
  </si>
  <si>
    <t>Основное мероприятие "Организация предоставления отдельных мер социальной защиты населения"</t>
  </si>
  <si>
    <t>07 4 01</t>
  </si>
  <si>
    <t>07 4 01 71230</t>
  </si>
  <si>
    <t xml:space="preserve">Организация предоставления отдельных мер социальной защиты населения за счет средств областного бюджета 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</si>
  <si>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в возрасте от 18 до 23 лет"</t>
  </si>
  <si>
    <t>07 4 02</t>
  </si>
  <si>
    <t>07 4 02 00910</t>
  </si>
  <si>
    <t xml:space="preserve"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в возрасте от 18 до 23 лет </t>
  </si>
  <si>
    <t>07 4 02 71240</t>
  </si>
  <si>
    <t xml:space="preserve"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в возрасте от 18 до 23 лет, за счет средств областного бюджета </t>
  </si>
  <si>
    <t>Основное мероприятие "Осуществление деятельности по опеке и попечительству в отношении совершеннолетних лиц"</t>
  </si>
  <si>
    <t>07 4 03</t>
  </si>
  <si>
    <t>07 4 03 71250</t>
  </si>
  <si>
    <t xml:space="preserve">Осуществление деятельности по опеке и попечительству в отношении совершеннолетних лиц за счет средств областного бюджета </t>
  </si>
  <si>
    <t>Основное мероприятие "Организация предоставления ежемесячных денежных компенсаций расходов по оплате жилищно-коммунальных услуг"</t>
  </si>
  <si>
    <t>07 4 04</t>
  </si>
  <si>
    <t>07 4 04 71260</t>
  </si>
  <si>
    <t xml:space="preserve">Организация предоставления ежемесячных денежных компенсаций расходов по оплате жилищно-коммунальных услуг за счет средств областного бюджета </t>
  </si>
  <si>
    <t>Основное мероприятие "Организация предоставления социального пособия на погребение"</t>
  </si>
  <si>
    <t>07 4 05</t>
  </si>
  <si>
    <t>07 4 05 71270</t>
  </si>
  <si>
    <t>Реализация мероприятий по приобретению объектов социальной сферы за счет средств бюджета городского округа "Город Белгород" и средств вышестоящих бюджетов</t>
  </si>
  <si>
    <t>05 1 03 L1590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</si>
  <si>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за счет средств бюджета городского округа "Город Белгород" и средств вышестоящих бюджетов</t>
  </si>
  <si>
    <t>Совершенствование управления системой образования за счет вышестоящих бюджетов</t>
  </si>
  <si>
    <t>05 2 04 70550</t>
  </si>
  <si>
    <t xml:space="preserve"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№ 81-ФЗ "О государственных пособиях гражданам, имеющим детей" за счет средств федерального бюджета 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</si>
  <si>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бюджета городского округа "Город Белгород" и средств вышестоящих бюджетов</t>
  </si>
  <si>
    <t>Реализация мероприятий, направленных на развитие физической культуры и спорта, за счет средств бюджета городского округа "Город Белгород" и средств вышестоящих бюджетов</t>
  </si>
  <si>
    <t>99 9 00 71330</t>
  </si>
  <si>
    <t>Мероприятия по итогам оценки эффективности деятельности органов местного самоуправления за счет средств областного бюджета</t>
  </si>
  <si>
    <t>99 9 00 71360</t>
  </si>
  <si>
    <t>Организация и проведение областных конкурсов по благоустройству муниципальных образований за счет средств областного бюджета</t>
  </si>
  <si>
    <t>15 1 01 40010</t>
  </si>
  <si>
    <t>Расходы на выплаты по оплате труда лиц, замещающих муниципальные должности в законодательном (представительном) органе городского округа "Город Белгород"</t>
  </si>
  <si>
    <t>Подпрограмма "Благоустройство дворовых территорий многоквартирных домов, общественных пространств и иных территорий соответствующего функционального назначения города Белгорода"</t>
  </si>
  <si>
    <t>Основное мероприятие "Выполнение работ по благоустройству дворовых территорий, общественных пространств и иных территорий соответствующего функционального назначения города Белгорода"</t>
  </si>
  <si>
    <t>Мероприятия по формированию современной городской среды за счет средств бюджета городского округа "Город Белгород" и средств вышестоящих бюджетов</t>
  </si>
  <si>
    <t>Реализация мероприятий по обеспечению жильем молодых семей за счет средств бюджета городского округа "Город Белгород" и средств вышестоящих бюджетов</t>
  </si>
  <si>
    <t xml:space="preserve">Организация предоставления социального пособия на погребение за счет средств областного бюджета </t>
  </si>
  <si>
    <t>Муниципальная программа "Развитие культуры и искусства городского округа "Город Белгород"
на 2015-2020 годы"</t>
  </si>
  <si>
    <t>Подпрограмма "Развитие муниципальных библиотек города Белгорода"</t>
  </si>
  <si>
    <t>08 1</t>
  </si>
  <si>
    <t>08 1 01</t>
  </si>
  <si>
    <t>08 1 01 00590</t>
  </si>
  <si>
    <t>08 1 01 77780</t>
  </si>
  <si>
    <t xml:space="preserve">Мероприятия, направленные на повышение оплаты труда работников муниципальных учреждений культуры, попадающих под действие Указа Президента РФ от 07.05.2012 г. №597, за счет средств областного бюджета </t>
  </si>
  <si>
    <t xml:space="preserve">Основное мероприятие "Комплектование фондов муниципальных библиотек городского округа "Город Белгород"   </t>
  </si>
  <si>
    <t>08 1 02</t>
  </si>
  <si>
    <t>Капитальный ремонт и ремонт сети автомобильных дорог общего пользования местного значения за счет средств областного бюджета</t>
  </si>
  <si>
    <t>03 1 01 72140</t>
  </si>
  <si>
    <t>Обеспечение жильем отдельных категорий граждан, установленных Федеральными законами от 12 января 1995 года № 5-ФЗ "О ветеранах" за счет средств федерального бюджета</t>
  </si>
  <si>
    <t>Реализация мероприятий по обеспечению жильем молодых семей за счет средств областного бюджета</t>
  </si>
  <si>
    <t>04 1 03 73770</t>
  </si>
  <si>
    <t>04 1 03 R4970</t>
  </si>
  <si>
    <t>08 1 02 R5192</t>
  </si>
  <si>
    <t>Комплектование книжных фондов библиотек городского округа "Город Белгород" за счет средств вышестоящих бюджетов</t>
  </si>
  <si>
    <t xml:space="preserve">Основное мероприятие "Ремонт и модернизация материально-технической базы муниципальных библиотек городского округа "Город Белгород"    </t>
  </si>
  <si>
    <t>08 1 03</t>
  </si>
  <si>
    <t>08 1 03 22020</t>
  </si>
  <si>
    <t>Ремонт и модернизации материально-технической базы муниципальных библиотек городского округа "Город Белгород"</t>
  </si>
  <si>
    <t xml:space="preserve">Подпрограммы "Развитие культурно-досуговой деятельности и народного творчества" </t>
  </si>
  <si>
    <t>08 2</t>
  </si>
  <si>
    <t xml:space="preserve">Основное мероприятие "Обеспечение деятельности (оказание услуг) муниципальных учреждений городского округа "Город Белгород"      </t>
  </si>
  <si>
    <t>08 2 01</t>
  </si>
  <si>
    <t>08 2 01 00590</t>
  </si>
  <si>
    <t>08 2 01 77780</t>
  </si>
  <si>
    <t>08 2 02</t>
  </si>
  <si>
    <t>08 2 02 29990</t>
  </si>
  <si>
    <t xml:space="preserve">Общегородские мероприятия  </t>
  </si>
  <si>
    <t>Основное мероприятие "Ремонт и модернизация материально-технической базы муниципальных культурно-досуговых учреждений городского округа "Город Белгород"</t>
  </si>
  <si>
    <t>08 2 03</t>
  </si>
  <si>
    <t>08 2 03 20770</t>
  </si>
  <si>
    <t>Ремонт и модернизация материально-технической базы муниципальных культурно-досуговых учреждений городского округа "Город Белгород"</t>
  </si>
  <si>
    <t>08 2 03 24010</t>
  </si>
  <si>
    <t>Подпрограмма  "Развитие дополнительного образования детей в сфере культуры"</t>
  </si>
  <si>
    <t>08 3</t>
  </si>
  <si>
    <t>08 3 01</t>
  </si>
  <si>
    <t>08 3 01 00590</t>
  </si>
  <si>
    <t xml:space="preserve">Основное мероприятие "Выявление и поддержка одаренных детей"  </t>
  </si>
  <si>
    <t>08 3 02</t>
  </si>
  <si>
    <t>08 3 02 22220</t>
  </si>
  <si>
    <t xml:space="preserve">Выявление и поддержка одаренных детей </t>
  </si>
  <si>
    <t>Подпрограмма "Сохранение и популяризация культурно-исторического наследия"</t>
  </si>
  <si>
    <t>08 4</t>
  </si>
  <si>
    <t xml:space="preserve">Основное мероприятие "Сохранение и популяризация объектов культурного наследия, находящихся в собственности городского округа "Город Белгород" </t>
  </si>
  <si>
    <t>08 4 01</t>
  </si>
  <si>
    <t>08 4 01 22310</t>
  </si>
  <si>
    <t xml:space="preserve">Основное мероприятие "Увековечение памяти о выдающихся событиях и деятелях отечественной истории" </t>
  </si>
  <si>
    <t xml:space="preserve">Сохранение и популяризация объектов культурного наследия, находящихся в собственности городского округа "Город Белгород" </t>
  </si>
  <si>
    <t>08 4 03</t>
  </si>
  <si>
    <t>08 4 03 22330</t>
  </si>
  <si>
    <t xml:space="preserve">Увековечение памяти о выдающихся событиях и деятелях отечественной истории </t>
  </si>
  <si>
    <t>08 4 04</t>
  </si>
  <si>
    <t>08 4 04 00590</t>
  </si>
  <si>
    <t>08 4 04 77780</t>
  </si>
  <si>
    <t>Подпрограмма  "Организация реализации муниципальной программы"</t>
  </si>
  <si>
    <t>08 5</t>
  </si>
  <si>
    <t>08 5 01</t>
  </si>
  <si>
    <t>08 5 01 00190</t>
  </si>
  <si>
    <t>08 5 02</t>
  </si>
  <si>
    <t>08 5 02 00590</t>
  </si>
  <si>
    <t>Муниципальная программа "Спорт для всех" на 2015-2020 годы"</t>
  </si>
  <si>
    <t>Подпрограмма  "Развитие физической культуры и массового спорта в городе Белгороде"</t>
  </si>
  <si>
    <t>09 1</t>
  </si>
  <si>
    <t>09 1 01</t>
  </si>
  <si>
    <t>09 1 01 00590</t>
  </si>
  <si>
    <t>09 1 02</t>
  </si>
  <si>
    <t>09 1 02 20990</t>
  </si>
  <si>
    <t xml:space="preserve">Основное мероприятие "Строительство, реконструкция и капитальный ремонт объектов инфраструктуры физической культуры и спорта"  </t>
  </si>
  <si>
    <t>09 1 03</t>
  </si>
  <si>
    <t>09 1 03 24010</t>
  </si>
  <si>
    <t>09 1 03 40010</t>
  </si>
  <si>
    <t>Подпрограмма "Развитие системы подготовки спортивного резерва"</t>
  </si>
  <si>
    <t>09 2</t>
  </si>
  <si>
    <t>Подраздел</t>
  </si>
  <si>
    <t>ВСЕГО</t>
  </si>
  <si>
    <t>бюджет</t>
  </si>
  <si>
    <t>межбюджетные трансферты</t>
  </si>
  <si>
    <t>02 3 13 24010</t>
  </si>
  <si>
    <t>02 3 09 40010</t>
  </si>
  <si>
    <t>Реализация мероприятий по благоустройству дворовых и придворовых территорий многоквартирных домов за счет средств областного бюджета</t>
  </si>
  <si>
    <t>02 3 12 71380</t>
  </si>
  <si>
    <t>02 3 11 40010</t>
  </si>
  <si>
    <t>Основное мероприятие "Мероприятия по формированию современной городской среды"</t>
  </si>
  <si>
    <t xml:space="preserve">Создание модулей, техническая поддержка и обновление инвестиционного интернет портала города Белгорода </t>
  </si>
  <si>
    <t>01 1 06 20620</t>
  </si>
  <si>
    <t xml:space="preserve">к решению Белгородского </t>
  </si>
  <si>
    <t>городского Совета</t>
  </si>
  <si>
    <t>2020 год</t>
  </si>
  <si>
    <t xml:space="preserve">Основное мероприятие "Обеспечение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</t>
  </si>
  <si>
    <t xml:space="preserve"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 за счет средств федерального бюджета </t>
  </si>
  <si>
    <t>04 1 01 51340</t>
  </si>
  <si>
    <t>Основное мероприятие "Обеспечение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</si>
  <si>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04 1 02 51350</t>
  </si>
  <si>
    <t>Основное мероприятие "Капитальный ремонт дворовых территорий многоквартирных жилых домов и проездов к ним, благоустройство общественных зон"</t>
  </si>
  <si>
    <t xml:space="preserve">Субсидирование процентных ставок за пользование банковскими кредитами, привлеченными субъектами предпринимательской деятельности, на строительство (реконструкцию) объектов недвижимости </t>
  </si>
  <si>
    <t>тыс. рублей</t>
  </si>
  <si>
    <t>Наименование показателя</t>
  </si>
  <si>
    <t>Раздел</t>
  </si>
  <si>
    <t>Подраз- дел</t>
  </si>
  <si>
    <t>Целевая статья</t>
  </si>
  <si>
    <t>Вид расхода</t>
  </si>
  <si>
    <t>Плановый период</t>
  </si>
  <si>
    <t>2019 год</t>
  </si>
  <si>
    <t>01</t>
  </si>
  <si>
    <t>03</t>
  </si>
  <si>
    <t>02 3 09</t>
  </si>
  <si>
    <t>Основное мероприятие "Благоустройство прочих территорий города Белгорода"</t>
  </si>
  <si>
    <t xml:space="preserve">02 3 11 </t>
  </si>
  <si>
    <t>03 1 03</t>
  </si>
  <si>
    <t>03 2</t>
  </si>
  <si>
    <t>03 2 01</t>
  </si>
  <si>
    <t>03 2 02</t>
  </si>
  <si>
    <t>03 3</t>
  </si>
  <si>
    <t>03 3 01</t>
  </si>
  <si>
    <t xml:space="preserve">03 4 </t>
  </si>
  <si>
    <t xml:space="preserve">03 4 02 </t>
  </si>
  <si>
    <t>03 4 03</t>
  </si>
  <si>
    <t>03 4 05</t>
  </si>
  <si>
    <t>03 4 07</t>
  </si>
  <si>
    <t>04 1</t>
  </si>
  <si>
    <t>04 1 01</t>
  </si>
  <si>
    <t>04 1 02</t>
  </si>
  <si>
    <t>100</t>
  </si>
  <si>
    <t>200</t>
  </si>
  <si>
    <t>800</t>
  </si>
  <si>
    <t>04</t>
  </si>
  <si>
    <t>07</t>
  </si>
  <si>
    <t>Муниципальная программа "Развитие жилищно-коммунального хозяйства города  Белгорода на 2015-2020 годы"</t>
  </si>
  <si>
    <t xml:space="preserve">Подпрограмма "Энергосбережение и повышение энергетической эффективности" </t>
  </si>
  <si>
    <t xml:space="preserve">Основное мероприятие "Постановка на учет и организация управления  бесхозяйными объектами, используемыми для  передачи энергетических ресурсов" </t>
  </si>
  <si>
    <t xml:space="preserve">Постановка на учет и организация управления  бесхозяйными объектами, используемыми для  передачи энергетических ресурсов </t>
  </si>
  <si>
    <t>02 2 03 20930</t>
  </si>
  <si>
    <t xml:space="preserve">Обеспечение деятельности (оказание услуг) муниципальных учреждений городского округа "Город Белгород" </t>
  </si>
  <si>
    <t>09</t>
  </si>
  <si>
    <t xml:space="preserve">Основное мероприятие "Обеспечение деятельности (оказание услуг) муниципальных учреждений городского округа "Город Белгород"   </t>
  </si>
  <si>
    <t xml:space="preserve">Проведение конкурсов, фестивалей и иных мероприятий </t>
  </si>
  <si>
    <t>08</t>
  </si>
  <si>
    <t>Муниципальная программа  "Развитие дорожно-транспортной инфраструктуры города Белгорода на 2015-2020 годы"</t>
  </si>
  <si>
    <t xml:space="preserve">Подпрограмма  "Совершенствование транспортной системы города Белгорода" </t>
  </si>
  <si>
    <t xml:space="preserve">Основное мероприятие "Организация транспортного обслуживания населения  в пригородном  межмуниципальном сообщении"    </t>
  </si>
  <si>
    <t xml:space="preserve">Организация транспортного обслуживания населения  в пригородном  межмуниципальном сообщении за счет средств областного бюджета  </t>
  </si>
  <si>
    <t>03 4 02 73810</t>
  </si>
  <si>
    <t>03 3 01 40010</t>
  </si>
  <si>
    <t>Подпрограмма "Инженерное обустройство и строительство автомобильных дорог и тротуаров в микрорайонах массовой застройки ИЖС г. Белгорода"</t>
  </si>
  <si>
    <t>Основное мероприятие "Прокладка сетей коммуникаций"</t>
  </si>
  <si>
    <t>02 3 06 40010</t>
  </si>
  <si>
    <t>02 3 12 S1380</t>
  </si>
  <si>
    <t>Реализация мероприятий по благоустройству дворовых и придворовых территорий многоквартирных домов за счет средств бюджета городского округа "Город Белгород"</t>
  </si>
  <si>
    <t xml:space="preserve">Основное мероприятие "Субсидирование процентных ставок за пользование банковскими кредитами, привлеченными МУП "Городской пассажирский транспорт", на приобретение транспортных средств для осуществления пассажирских перевозок"    </t>
  </si>
  <si>
    <t xml:space="preserve">Субсидирование процентных ставок за пользование банковскими кредитами, привлеченными МУП "Городской пассажирский транспорт" на приобретение транспортных средств для осуществления пассажирских перевозок </t>
  </si>
  <si>
    <t>03 4 03 60090</t>
  </si>
  <si>
    <t>Основное мероприятие "Субсидия на погашение части основного долга по кредиту, привлеченному МУП "ГПТ" в ОАО "Сбербанк России" на приобретение произведенных на территории государств-участников единого экономического пространства автобусов, работающих на газомоторном топливе, и троллейбусов на условиях софинансирования из федерального бюджета по соглашению между Министерством транспорта РФ и Правительством Белгородской области от 20.12.2012г. № 2/18с"</t>
  </si>
  <si>
    <t>Субсидия на погашение части основного долга по кредиту, привлеченному МУП "ГПТ" в ОАО "Сбербанк России" на приобретение произведенных на территории государств-участников единого экономического пространства автобусов, работающих на газомоторном топливе, и троллейбусов на условиях софинансирования из федерального бюджета по соглашению между Министерством транспорта РФ и Правительством Белгородской области от 20.12.2012г. № 2/18с</t>
  </si>
  <si>
    <t>03 4 07 60100</t>
  </si>
  <si>
    <t xml:space="preserve">Подпрограмма "Благоустройство территории городского округа" </t>
  </si>
  <si>
    <t xml:space="preserve">Подпрограмма "Строительство, реконструкция, ремонт и содержание улично-дорожной сети города и искусственных сооружений" </t>
  </si>
  <si>
    <t xml:space="preserve">Основное мероприятие "Строительство, реконструкция и ремонт улично-дорожной сети города и искусственных сооружений"   </t>
  </si>
  <si>
    <t xml:space="preserve">Мероприятия по ремонту улично-дорожной сети </t>
  </si>
  <si>
    <t>03 1 01 21110</t>
  </si>
  <si>
    <t>600</t>
  </si>
  <si>
    <t>Капитальный ремонт объектов муниципальной собственности</t>
  </si>
  <si>
    <t>03 1 01 24010</t>
  </si>
  <si>
    <t>Строительство (реконструкция) объектов капитального строительства муниципальной собственности</t>
  </si>
  <si>
    <t>03 1 01 40010</t>
  </si>
  <si>
    <t>400</t>
  </si>
  <si>
    <t xml:space="preserve">Основное мероприятие "Обеспечение содержания улично-дорожной сети города"   </t>
  </si>
  <si>
    <t>Обеспечение содержания улично-дорожной сети города</t>
  </si>
  <si>
    <t>03 1 02 21120</t>
  </si>
  <si>
    <t xml:space="preserve">Основное мероприятие "Мероприятия по обеспечению  функционирования объектов внешнего благоустройства"   </t>
  </si>
  <si>
    <t xml:space="preserve">Мероприятия по обеспечению  функционирования объектов внешнего благоустройства </t>
  </si>
  <si>
    <t>03 1 03 21030</t>
  </si>
  <si>
    <t xml:space="preserve">Подпрограмма  "Обеспечение безопасности дорожного движения" </t>
  </si>
  <si>
    <t xml:space="preserve">Основное мероприятие "Содержание, текущий ремонт светофорных объектов и дорожных знаков"  </t>
  </si>
  <si>
    <t xml:space="preserve">Содержание, текущий ремонт светофорных объектов и дорожных знаков </t>
  </si>
  <si>
    <t>03 2 01 21210</t>
  </si>
  <si>
    <t xml:space="preserve">Основное мероприятие "Разработка и согласование проекта организации дорожного движения, внесение в него изменений"   </t>
  </si>
  <si>
    <t xml:space="preserve">Разработка и согласование проекта организации дорожного движения, внесение в него изменений </t>
  </si>
  <si>
    <t>03 2 02 21220</t>
  </si>
  <si>
    <t>03 4 05 00590</t>
  </si>
  <si>
    <t>12</t>
  </si>
  <si>
    <t>Муниципальная программа "Повышение инвестиционной привлекательности города и формирование благоприятного предпринимательского климата на 2015-2020 годы"</t>
  </si>
  <si>
    <t xml:space="preserve">Подпрограмма  "Развитие экономического потенциала города Белгорода на 2015-2020 годы" </t>
  </si>
  <si>
    <t>01 1 01 60010</t>
  </si>
  <si>
    <t>Основное мероприятие "Проведение конкурсов, фестивалей и иных мероприятий"</t>
  </si>
  <si>
    <t>01 1 04 20990</t>
  </si>
  <si>
    <t>Мероприятия, направленные на повышение оплаты труда работников муниципальных учреждений культуры, попадающих под действие Указа Президента РФ от 07.05.2012 г. №597, за счет средств бюджета городского округа</t>
  </si>
  <si>
    <t>08 1 01 S7780</t>
  </si>
  <si>
    <t>08 2 01 S7780</t>
  </si>
  <si>
    <t>08 4 04 S7780</t>
  </si>
  <si>
    <t>Основное мероприятие "Организация экспозиции города Белгорода на экономических, инвестиционных форумах, выставках с целью позиционирования города как инвестиционно привлекательного"</t>
  </si>
  <si>
    <t xml:space="preserve">Организация экспозиции города Белгорода на экономических, инвестиционных форумах, выставках с целью позиционирования города как инвестиционно привлекательного </t>
  </si>
  <si>
    <t>01 1 05 20610</t>
  </si>
  <si>
    <t>Основное мероприятие "Субсидирование процентных ставок за пользование банковскими кредитами, привлеченными субъектами предпринимательской деятельности на строительство (реконструкцию) объектов недвижимости муниципальной собственности для производства сельскохозяйственной продукции"</t>
  </si>
  <si>
    <t>01 1 07 60070</t>
  </si>
  <si>
    <t>Подпрограмма "Развитие торговли, услуг и туризма в городе Белгороде на 2015-2020 годы"</t>
  </si>
  <si>
    <t>Основное мероприятие "Проведение анализа и информирование бизнес сообщества о необходимости строительства и открытия объектов торговли и услуг в микрорайонах города"</t>
  </si>
  <si>
    <t xml:space="preserve">Проведение анализа и информирование бизнес сообщества о необходимости строительства и открытия объектов торговли и услуг в микрорайонах города </t>
  </si>
  <si>
    <t>01 2 01 20710</t>
  </si>
  <si>
    <t xml:space="preserve">Основное мероприятие "Проведение конкурсов, фестивалей и иных мероприятий" </t>
  </si>
  <si>
    <t>01 2 02 20990</t>
  </si>
  <si>
    <t>Основное мероприятие "Продвижение туристской привлекательности  города Белгорода и городского турпродукта на внутреннем и внешнем рынках"</t>
  </si>
  <si>
    <t xml:space="preserve">Продвижение туристской привлекательности  города Белгорода и городского турпродукта на внутреннем и внешнем рынках  </t>
  </si>
  <si>
    <t>01 2 03 20720</t>
  </si>
  <si>
    <t xml:space="preserve">Основное мероприятие "Развитие и продвижение информационного портала управления потребительского рынка департамента экономического развития администрации города "Добро пожаловать в Белгород" </t>
  </si>
  <si>
    <t xml:space="preserve">Развитие и продвижение информационного портала управления потребительского рынка департамента экономического развития администрации города "Добро пожаловать в Белгород" </t>
  </si>
  <si>
    <t>01 2 04 20730</t>
  </si>
  <si>
    <t>Муниципальная программа "Обеспечение доступным и комфортным жильем жителей города Белгорода на 2015-2020 годы"</t>
  </si>
  <si>
    <t xml:space="preserve">Подпрограмма "Стимулирование развития жилищного строительства"  </t>
  </si>
  <si>
    <t>Подпрограмма "Организация реализации муниципальной программы"</t>
  </si>
  <si>
    <t>Основное мероприятие "Обеспечение деятельности (оказание услуг) муниципальных учреждений городского округа "Город Белгород"</t>
  </si>
  <si>
    <t>05</t>
  </si>
  <si>
    <t xml:space="preserve">Подпрограмма "Содержание и ремонт жилищного фонда города Белгорода" </t>
  </si>
  <si>
    <t xml:space="preserve">Основное мероприятие "Содержание муниципального жилищного фонда" </t>
  </si>
  <si>
    <t xml:space="preserve">Содержание муниципального жилищного фонда </t>
  </si>
  <si>
    <t>02 1 01 20810</t>
  </si>
  <si>
    <t xml:space="preserve">Основное мероприятие "Проведение капитального ремонта общего имущества в многоквартирных домах" </t>
  </si>
  <si>
    <t xml:space="preserve">Проведение капитального ремонта общего имущества в многоквартирных домах </t>
  </si>
  <si>
    <t>02 1 02 20820</t>
  </si>
  <si>
    <t>02 4 01 00590</t>
  </si>
  <si>
    <t>Обеспечение деятельности (оказание услуг) муниципальных учреждений городского округа "Город Белгород"</t>
  </si>
  <si>
    <t xml:space="preserve">Основное мероприятие "Мероприятия  по ландшафтному дизайну и озеленению" </t>
  </si>
  <si>
    <t xml:space="preserve">Мероприятия  по ландшафтному дизайну и озеленению </t>
  </si>
  <si>
    <t>02 3 01 21010</t>
  </si>
  <si>
    <t xml:space="preserve">Основное мероприятие "Мероприятие по обеспечению  освещения улиц и  дворовых территорий" </t>
  </si>
  <si>
    <t xml:space="preserve">Мероприятие по обеспечению  освещения улиц и  дворовых территорий </t>
  </si>
  <si>
    <t>02 3 02 21020</t>
  </si>
  <si>
    <t xml:space="preserve">Основное мероприятие "Мероприятия по обеспечению  функционирования объектов внешнего благоустройства" </t>
  </si>
  <si>
    <t xml:space="preserve">Основное мероприятие "Мероприятия по  проведению капитального ремонта дворовых территорий многоквартирных домов и  проездов к ним" </t>
  </si>
  <si>
    <t>02 3 03 24010</t>
  </si>
  <si>
    <t>02 3 03</t>
  </si>
  <si>
    <t>02 3 05 21030</t>
  </si>
  <si>
    <t xml:space="preserve">Основное мероприятие "Мероприятия по содержанию и повышению уровня благоустройства мест захоронения" </t>
  </si>
  <si>
    <t xml:space="preserve">Мероприятия по содержанию и повышению уровня благоустройства мест захоронения </t>
  </si>
  <si>
    <t>02 3 06 21040</t>
  </si>
  <si>
    <t xml:space="preserve">Основное мероприятие "Выплата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года № 8-ФЗ" </t>
  </si>
  <si>
    <t>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года № 8-ФЗ за счет средств областного бюджета</t>
  </si>
  <si>
    <t>02 3 07 71350</t>
  </si>
  <si>
    <t xml:space="preserve">Основное мероприятие "Утилизация  бытовых и промышленных отходов" </t>
  </si>
  <si>
    <t xml:space="preserve">Утилизация  бытовых и промышленных отходов </t>
  </si>
  <si>
    <t>02 3 08 21060</t>
  </si>
  <si>
    <t>300</t>
  </si>
  <si>
    <t>02</t>
  </si>
  <si>
    <t>Основное мероприятие "Реализация мероприятий по благоустройству дворовых и придворовых территорий многоквартирных домов"</t>
  </si>
  <si>
    <t xml:space="preserve">Основное мероприятие "Установка приборов учета и регулирования тепловых энергетических ресурсов, модернизация оборудования" </t>
  </si>
  <si>
    <t xml:space="preserve">Установка приборов учета и регулирования тепловых энергетических ресурсов, модернизация оборудования </t>
  </si>
  <si>
    <t>02 2 02 20920</t>
  </si>
  <si>
    <t>Основное мероприятие "Проведение общегородских мероприятий"</t>
  </si>
  <si>
    <t xml:space="preserve">Общегородские мероприятия </t>
  </si>
  <si>
    <t>02 3 04 29990</t>
  </si>
  <si>
    <t xml:space="preserve">Распределение бюджетных ассигнований по целевым статьям (муниципальным программам городского округа "Город Белгород" и непрограммным направлениям деятельности),  группам видов расходов, разделам, подразделам классификации расходов бюджета </t>
  </si>
  <si>
    <t xml:space="preserve">Приложение № 8    </t>
  </si>
  <si>
    <t>01 1</t>
  </si>
  <si>
    <t>01 1 01</t>
  </si>
  <si>
    <t xml:space="preserve">01 1 04 </t>
  </si>
  <si>
    <t>01 1 05</t>
  </si>
  <si>
    <t>Основное мероприятие "Создание модулей, техническая поддержка и обновление инвестиционного интернет портала города Белгорода"</t>
  </si>
  <si>
    <t>01 1 06</t>
  </si>
  <si>
    <t>01 1 07</t>
  </si>
  <si>
    <t>01 2</t>
  </si>
  <si>
    <t xml:space="preserve">01 2 01 </t>
  </si>
  <si>
    <t>02 2 02</t>
  </si>
  <si>
    <t xml:space="preserve">01 2 02 </t>
  </si>
  <si>
    <t>01 2 03</t>
  </si>
  <si>
    <t>01 2 04</t>
  </si>
  <si>
    <t>02 1</t>
  </si>
  <si>
    <t>02 1 01</t>
  </si>
  <si>
    <t xml:space="preserve">02 1 02 </t>
  </si>
  <si>
    <t>02 2</t>
  </si>
  <si>
    <t xml:space="preserve">02 2 03 </t>
  </si>
  <si>
    <t xml:space="preserve">02 3 </t>
  </si>
  <si>
    <t>02 3 01</t>
  </si>
  <si>
    <t xml:space="preserve">02 3 02 </t>
  </si>
  <si>
    <t>02 3 04</t>
  </si>
  <si>
    <t>02 3 05</t>
  </si>
  <si>
    <t>02 3 06</t>
  </si>
  <si>
    <t>02 3 07</t>
  </si>
  <si>
    <t>02 3 08</t>
  </si>
  <si>
    <t>02 3 12</t>
  </si>
  <si>
    <t>02 3 13</t>
  </si>
  <si>
    <t>02 4</t>
  </si>
  <si>
    <t>02 4 01</t>
  </si>
  <si>
    <t xml:space="preserve">03 1 </t>
  </si>
  <si>
    <t>03 1 01</t>
  </si>
  <si>
    <t>03 1 02</t>
  </si>
  <si>
    <t>10</t>
  </si>
  <si>
    <t xml:space="preserve">Основное мероприятие "Реализация мероприятий по обеспечению жильем молодых семей"   </t>
  </si>
  <si>
    <t>04 1 03</t>
  </si>
  <si>
    <t>04 1 03 L0200</t>
  </si>
  <si>
    <t xml:space="preserve">Реализация мероприятий по обеспечению жильем молодых семей за счет средств бюджета городского округа "Город Белгород" </t>
  </si>
  <si>
    <t>04 1 03 R0200</t>
  </si>
  <si>
    <t>Реализация мероприятий по обеспечению жильем молодых семей за счет средств вышестоящих бюджетов</t>
  </si>
  <si>
    <t xml:space="preserve"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   </t>
  </si>
  <si>
    <t>04 1 04</t>
  </si>
  <si>
    <t>04 1 04 70820</t>
  </si>
  <si>
    <t>04 1 04 R0820</t>
  </si>
  <si>
    <t>Субсидирование недополученных доходов АО "Мастерславль – Белгород" от оказания зрелищно-развлекательных услуг для обучающихся общеобразовательных организаций города Белгорода в целях развития культурной деятельности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</si>
  <si>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</si>
  <si>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Предоставление жилых помещений детям - сиротам и детям, оставшимся без попечения родителей,  лицам из их числа по договорам найма специализированных жилых помещений за счет средств вышестоящих бюджетов</t>
  </si>
  <si>
    <t xml:space="preserve">Основное мероприятие "Обеспечение функций органов власти городского округа "Город Белгород"  </t>
  </si>
  <si>
    <t>04 1 07</t>
  </si>
  <si>
    <t>04 1 07 00190</t>
  </si>
  <si>
    <t xml:space="preserve">Обеспечение функций органов власти городского округа "Город Белгород" </t>
  </si>
  <si>
    <t>Основное мероприятие "Обеспечение жильем граждан, уволенных с военной службы (службы), и приравненных к ним лиц"</t>
  </si>
  <si>
    <t>04 1 08</t>
  </si>
  <si>
    <t>04 1 08 54850</t>
  </si>
  <si>
    <t>Обеспечение жильем граждан, уволенных с военной службы (службы), и приравненных к ним лиц за счет средств федерального бюджета</t>
  </si>
  <si>
    <t>04 2</t>
  </si>
  <si>
    <t>04 2 01</t>
  </si>
  <si>
    <t>04 2 01 00190</t>
  </si>
  <si>
    <t xml:space="preserve">Основное мероприятие "Обеспечение деятельности (оказание услуг) муниципальных учреждений городского округа "Город Белгород" </t>
  </si>
  <si>
    <t>04 2 03</t>
  </si>
  <si>
    <t>04 2 03 00590</t>
  </si>
  <si>
    <t>2021 год</t>
  </si>
  <si>
    <t>Субсидии на компенсацию затрат МУП города Белгорода "Городской пассажирский транспорт", возникающие в связи с применением тарифа по перевозке пассажиров и багажа в электротранспорте</t>
  </si>
  <si>
    <t>03 4 09 60140</t>
  </si>
  <si>
    <t>03 4 09</t>
  </si>
  <si>
    <t>Основное меоприятие "Предоставление субсидии на компенсацию затрат МУП города Белгорода "Городской пассажирский транспорт", возникающие в связи с применением тарифа по перевозке пассажиров и багажа в электротранспорте</t>
  </si>
  <si>
    <t>07 4 06 00190</t>
  </si>
  <si>
    <t>07 4 06</t>
  </si>
  <si>
    <t>Основное мероприятие "Обеспечение функций органов власти городского округа "Город Белгород"</t>
  </si>
  <si>
    <t xml:space="preserve">Комплектование фондов муниципальных библиотек городского округа "Город Белгород" </t>
  </si>
  <si>
    <t>08 1 02 22010</t>
  </si>
  <si>
    <t>Муниципальная программа "Развитие образования городского округа "Город Белгород" на 2015-2020 годы"</t>
  </si>
  <si>
    <t xml:space="preserve">Подпрограмма "Развитие дошкольного образования" </t>
  </si>
  <si>
    <t xml:space="preserve">05 1 </t>
  </si>
  <si>
    <t xml:space="preserve"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(организациях)"   </t>
  </si>
  <si>
    <t>05 1 01</t>
  </si>
  <si>
    <t>Предоставление субсидий бюджетным, автономным учреждениям и иным  некоммерческим организациям</t>
  </si>
  <si>
    <t>05 1 01 73020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</si>
  <si>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за счет средств областного бюджета </t>
  </si>
  <si>
    <t xml:space="preserve">Основное мероприятие "Развитие инфраструктуры муниципальной системы дошкольного образования"   </t>
  </si>
  <si>
    <t>05 1 03</t>
  </si>
  <si>
    <t>05 1 03 21520</t>
  </si>
  <si>
    <t xml:space="preserve">Развитие инфраструктуры муниципальной системы дошкольного образования </t>
  </si>
  <si>
    <t>05 1 03 24010</t>
  </si>
  <si>
    <t>05 1 03 40010</t>
  </si>
  <si>
    <t xml:space="preserve">Строительство (реконструкция) объектов капитального строительства муниципальной собственности </t>
  </si>
  <si>
    <t xml:space="preserve">Капитальный ремонт объектов муниципальной собственности </t>
  </si>
  <si>
    <t xml:space="preserve">Основное мероприятие "Поддержка частно-государственного партнерства в сфере дошкольного образования"   </t>
  </si>
  <si>
    <t>05 1 04</t>
  </si>
  <si>
    <t>05 1 04 11530</t>
  </si>
  <si>
    <t xml:space="preserve">Меры поддержки развития альтернативных форм предоставления дошкольного образования </t>
  </si>
  <si>
    <t>05 1 04 21530</t>
  </si>
  <si>
    <t xml:space="preserve">Поддержка частно-государственного партнерства в сфере дошкольного образования </t>
  </si>
  <si>
    <t>05 1 04 73010</t>
  </si>
  <si>
    <t xml:space="preserve">Поддержка частно-государственного партнерства в сфере дошкольного образования за счет средств областного бюджета </t>
  </si>
  <si>
    <t xml:space="preserve">Основное мероприятие "Реализация мероприятий по обеспечению условий для оказания качественных услуг дошкольного образования и услуг по присмотру и уходу за детьми, их модернизация"   </t>
  </si>
  <si>
    <t>05 1 05</t>
  </si>
  <si>
    <t>05 1 05 00590</t>
  </si>
  <si>
    <t>05 1 05 73030</t>
  </si>
  <si>
    <t xml:space="preserve">Выплата  компенсации части родительской платы за присмотр и уход за детьми в образовательных организациях, реализующих основную образовательную программу дошкольного образования  за счет средств областного бюджета </t>
  </si>
  <si>
    <t xml:space="preserve">Обеспечение деятельности (оказание услуг) муниципальных учреждений городского округа "Город Белгород"  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</si>
  <si>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за счет средств бюджета городского округа "Город Белгород"</t>
  </si>
  <si>
    <t>05 1 05 L0270</t>
  </si>
  <si>
    <t>05 1 05 R0270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</si>
  <si>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за счет средств вышестоящих бюджетов</t>
  </si>
  <si>
    <t xml:space="preserve">Подпрограмма "Развитие общего образования" </t>
  </si>
  <si>
    <t>05 2</t>
  </si>
  <si>
    <t xml:space="preserve">Основное мероприятие "Обеспечение государственных гарантий реализации прав граждан на получение общедоступного качественного бесплатного общего образования в муниципальных общеобразовательных учреждениях"  </t>
  </si>
  <si>
    <t>05 2 01</t>
  </si>
  <si>
    <t>05 2 01 73040</t>
  </si>
  <si>
    <t xml:space="preserve">Обеспечение государственных гарантий реализации прав граждан на получение общедоступного качественного бесплатного общего образования в муниципальных общеобразовательных учреждениях за счет средств областного бюджета </t>
  </si>
  <si>
    <t>05 2 01 73060</t>
  </si>
  <si>
    <t xml:space="preserve">Выплата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за счет средств областного бюджета  </t>
  </si>
  <si>
    <t xml:space="preserve">Основное мероприятие "Развитие инфраструктуры общего образования"  </t>
  </si>
  <si>
    <t>05 2 02</t>
  </si>
  <si>
    <t>05 2 02 21610</t>
  </si>
  <si>
    <t xml:space="preserve">Развитие инфраструктуры общего образования </t>
  </si>
  <si>
    <t>05 2 02 24010</t>
  </si>
  <si>
    <t>05 2 02 40010</t>
  </si>
  <si>
    <t>Основное мероприятие "Развитие кадрового потенциала"</t>
  </si>
  <si>
    <t>05 2 03</t>
  </si>
  <si>
    <t>05 2 03 10690</t>
  </si>
  <si>
    <t>Возмещение части затрат в связи с предоставлением учителям общеобразовательных учреждений ипотечного кредита</t>
  </si>
  <si>
    <t xml:space="preserve">Основное мероприятие "Совершенствование материально-технического оснащения общеобразовательных организаций"  </t>
  </si>
  <si>
    <t>05 2 04</t>
  </si>
  <si>
    <t>05 2 04 00590</t>
  </si>
  <si>
    <t>05 2 04 73050</t>
  </si>
  <si>
    <t>Обеспечение видеонаблюдением аудиторий пунктов проведения единого государственного экзамена за счет средств областного бюджета</t>
  </si>
  <si>
    <t xml:space="preserve">Основное мероприятие "Развитие воспитательной среды общеобразовательных учреждений и поддержка одаренных детей"  </t>
  </si>
  <si>
    <t>05 2 05</t>
  </si>
  <si>
    <t>05 2 05 21620</t>
  </si>
  <si>
    <t>Развитие воспитательной среды общеобразовательных учреждений и поддержка одаренных детей</t>
  </si>
  <si>
    <t xml:space="preserve">Основное мероприятие "Осуществление мер соцзащиты многодетных семей" </t>
  </si>
  <si>
    <t>05 2 06</t>
  </si>
  <si>
    <t>05 2 06 72880</t>
  </si>
  <si>
    <t xml:space="preserve">Осуществление мер соцзащиты многодетных семей за счет средств областного бюджета </t>
  </si>
  <si>
    <t>Подпрограмма "Развитие дополнительного образования"</t>
  </si>
  <si>
    <t>05 3</t>
  </si>
  <si>
    <t xml:space="preserve">Основное мероприятие "Обеспечение деятельности (оказание услуг) муниципальных учреждений городского округа "Город Белгород"  </t>
  </si>
  <si>
    <t>05 3 01</t>
  </si>
  <si>
    <t>05 3 01 00590</t>
  </si>
  <si>
    <t xml:space="preserve">Основное мероприятие "Проведение конкурсов, фестивалей и иных мероприятий"   </t>
  </si>
  <si>
    <t>11</t>
  </si>
  <si>
    <t>05 3 03</t>
  </si>
  <si>
    <t>05 3 03 20990</t>
  </si>
  <si>
    <t>Основное мероприятие "Модернизация инфраструктуры учреждений дополнительного образования"</t>
  </si>
  <si>
    <t>05 3 04</t>
  </si>
  <si>
    <t>05 3 04 24010</t>
  </si>
  <si>
    <t>05 3 04 40010</t>
  </si>
  <si>
    <t>Подпрограмма "Организация оздоровительного отдыха детей и подростков"</t>
  </si>
  <si>
    <t>05 4</t>
  </si>
  <si>
    <t>05 4 01</t>
  </si>
  <si>
    <t>05 4 01 00590</t>
  </si>
  <si>
    <t xml:space="preserve">Основное мероприятие "Организация отдыха и оздоровления детей в лагерях с дневным пребыванием" </t>
  </si>
  <si>
    <t>05 4 02</t>
  </si>
  <si>
    <t>05 4 02 21810</t>
  </si>
  <si>
    <t xml:space="preserve">Организация отдыха и оздоровления детей в лагерях с дневным пребыванием </t>
  </si>
  <si>
    <t>05 4 02 70650</t>
  </si>
  <si>
    <t xml:space="preserve">Основное мероприятие "Проведение конкурсов, фестивалей и иных мероприятий"  </t>
  </si>
  <si>
    <t>05 4 04</t>
  </si>
  <si>
    <t>05 4 04 20990</t>
  </si>
  <si>
    <t xml:space="preserve">Основное мероприятие "Обеспечение функций органов власти городского округа "Город Белгород" </t>
  </si>
  <si>
    <t>05 5 01</t>
  </si>
  <si>
    <t>05 5 01 00190</t>
  </si>
  <si>
    <t>05 5 02</t>
  </si>
  <si>
    <t>05 5 02 00590</t>
  </si>
  <si>
    <t xml:space="preserve">05 5 03 </t>
  </si>
  <si>
    <t>05 5 03 20990</t>
  </si>
  <si>
    <t>Муниципальная программа "Социальная поддержка населения города Белгорода на 2015-2020 годы"</t>
  </si>
  <si>
    <t>05 5</t>
  </si>
  <si>
    <t>Подпрограмма "Социальная поддержка отдельных категорий населения"</t>
  </si>
  <si>
    <t>07 1</t>
  </si>
  <si>
    <t>Основное мероприятие "Оплата жилищно-коммунальных услуг отдельным категориям граждан"</t>
  </si>
  <si>
    <t>07 1 01</t>
  </si>
  <si>
    <t>07 1 01 52500</t>
  </si>
  <si>
    <t>Строительство, реконструкция и приобретение объектов недвижимого имущества и капитальный ремонт объектов муниципальной собственности за счет средств вышестоящих бюджетов</t>
  </si>
  <si>
    <t>05 1 03 R0210</t>
  </si>
  <si>
    <t>Основное мероприятие "Мероприятия по рекультивации объектов наколенного вреда окружающей среде"</t>
  </si>
  <si>
    <t>Мероприятия по рекультивации объектов наколенного вреда окружающей среде за счет средств областного бюджета</t>
  </si>
  <si>
    <t>10 3 04 71410</t>
  </si>
  <si>
    <t>10 3 04</t>
  </si>
  <si>
    <t>Строительство, реконструкция и приобретение объектов недвижимого имущества муниципальной собственности за счет средств областного бюджета</t>
  </si>
  <si>
    <t>05 2 02 71120</t>
  </si>
  <si>
    <t>Мероприятия по благоустройству территории городского округа</t>
  </si>
  <si>
    <t>02 3 09 22640</t>
  </si>
  <si>
    <t>Основное мероприятие "Предоставление субсидии на компенсацию затрат МУП города Белгорода "Городской пассажирский транспорт", сложившихся при внедрении единой автоматизированной системы безналичной оплаты транспортных услуг"</t>
  </si>
  <si>
    <t>Предоставление субсидии на возмещение недополученных доходов МУП города Белгорода "Городской пассажирский транспорт", сложившихся при внедрении единой автоматизированной системы безналичной оплаты транспортных услуг</t>
  </si>
  <si>
    <t>03 4 08 60120</t>
  </si>
  <si>
    <t xml:space="preserve">03 4 08 </t>
  </si>
  <si>
    <t>Основное мероприятие "Субсидирование части затрат частным организациям и индивидуальным предпринимателям, осуществляющим образовательную деятельность и (или) присмотр и уход за детьми дошкольного возраста"</t>
  </si>
  <si>
    <t>Субсидирование части затрат частным организациям и индивидуальным предпринимателям</t>
  </si>
  <si>
    <t xml:space="preserve">Оплата жилищно-коммунальных услуг отдельным категориям граждан за счет средств федерального бюджета </t>
  </si>
  <si>
    <t>07 1 01 71510</t>
  </si>
  <si>
    <t xml:space="preserve">Предоставление гражданам адресных субсидий на оплату жилого помещения и коммунальных услуг за счет средств областного бюджета  </t>
  </si>
  <si>
    <t>07 1 01 72510</t>
  </si>
  <si>
    <t xml:space="preserve">Выплата ежемесячных денежных компенсаций расходов по оплате жилищно-коммунальных услуг ветеранам труда за счет средств областного бюджета </t>
  </si>
  <si>
    <t>07 1 01 72520</t>
  </si>
  <si>
    <t xml:space="preserve">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 за счет средств областного бюджета </t>
  </si>
  <si>
    <t>07 1 01 72530</t>
  </si>
  <si>
    <t xml:space="preserve">Выплата ежемесячных денежных компенсаций расходов по оплате жилищно-коммунальных услуг многодетным семьям за счет средств областного бюджета </t>
  </si>
  <si>
    <t>07 1 01 72540</t>
  </si>
  <si>
    <t xml:space="preserve">Выплата ежемесячных денежных компенсаций расходов по оплате жилищно-коммунальных услуг иным категориям граждан за счет средств областного бюджета </t>
  </si>
  <si>
    <t>07 1 01 R4620</t>
  </si>
  <si>
    <t>Предоставление ежемесячной денежной компенсации расходов на уплату взносов на капитальный ремонт общего имущества в многоквартирном доме лицам, достигшим 70-ти и 80-ти лет, за счет средств вышестоящих бюджетов</t>
  </si>
  <si>
    <t>Основное мероприятие "Социальная поддержка отдельных категорий граждан"</t>
  </si>
  <si>
    <t>07 1 02</t>
  </si>
  <si>
    <t>07 1 02 10020</t>
  </si>
  <si>
    <t>07 1 02 10030</t>
  </si>
  <si>
    <t>07 1 02 10040</t>
  </si>
  <si>
    <t>07 1 02 10050</t>
  </si>
  <si>
    <t xml:space="preserve">Оказание адресной помощи участникам боевых действий в период Великой Отечественной войны 1941 - 1945 г.г. </t>
  </si>
  <si>
    <t xml:space="preserve">Оказание адресной помощи инвалидам I группы по зрению для оплаты проезда сопровождающих их лиц </t>
  </si>
  <si>
    <t xml:space="preserve">Оказание адресной помощи на проезд многодетным семьям </t>
  </si>
  <si>
    <t xml:space="preserve">Ежемесячная денежная выплата для оплаты проезда одному из родителей (опекунов, попечителей), сопровождающему ребенка-инвалида </t>
  </si>
  <si>
    <t>07 1 02 10060</t>
  </si>
  <si>
    <t xml:space="preserve">Оказание адресной помощи инвалидам по зрению для возмещения расходов абонентной платы за радио </t>
  </si>
  <si>
    <t>07 1 02 10080</t>
  </si>
  <si>
    <t>Осуществление денежных выплат гражданам и возмещение расходов в соответствии с решением Совета депутатов г. Белгорода от 29.04.2008г. № 16 "О Положении о звании "Почетный гражданин города Белгорода"</t>
  </si>
  <si>
    <t>07 1 02 10090</t>
  </si>
  <si>
    <t xml:space="preserve">Осуществление единовременных и ежемесячных выплат инвалидам и пенсионерам </t>
  </si>
  <si>
    <t>07 1 02 10100</t>
  </si>
  <si>
    <t xml:space="preserve">Оказание адресной социальной помощи семьям с несовершеннолетними детьми </t>
  </si>
  <si>
    <t>07 1 02 10110</t>
  </si>
  <si>
    <t>Оказание адресной социальной помощи на возмещение расходов за приобретение именного месячного проездного билета студентам и аспирантам, обучающимся за пределами городского округа "Город Белгород"</t>
  </si>
  <si>
    <t>07 1 02 10130</t>
  </si>
  <si>
    <t>Оказание мер социальной поддержки председателям ТОСов</t>
  </si>
  <si>
    <t>07 1 02 51370</t>
  </si>
  <si>
    <t xml:space="preserve">Предоставление отдельных мер социальной поддержки граждан, подвергшихся воздействию радиации за счет средств федерального бюджета </t>
  </si>
  <si>
    <t>07 1 02 52200</t>
  </si>
  <si>
    <t xml:space="preserve">Ежегодная денежная выплата лицам, награжденным нагрудным знаком  "Почетный донор России" за счет средств федерального бюджета </t>
  </si>
  <si>
    <t>07 1 02 52600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</si>
  <si>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</si>
  <si>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07 1 02 52800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</si>
  <si>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соответствии с Федеральным законом от 25 апреля 2002 года №40-ФЗ "Об обязательном страховании ответственности владельцев транспортных средств" за счет средств федерального бюджета </t>
  </si>
  <si>
    <t>07 1 02 53810</t>
  </si>
  <si>
    <t xml:space="preserve"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81-ФЗ "О государственных пособиях гражданам, имеющим детей" за счет средств федерального бюджета  </t>
  </si>
  <si>
    <t>07 1 02 53830</t>
  </si>
  <si>
    <t>07 1 02 71370</t>
  </si>
  <si>
    <t xml:space="preserve">Социальная поддержка детей - сирот и детей, оставшихся без попечения родителей, в части оплаты за содержание жилых помещений, закрепленных за детьми - сиротами и капитального ремонта за счет средств областного бюджета </t>
  </si>
  <si>
    <t>07 1 02 72310</t>
  </si>
  <si>
    <t xml:space="preserve">Выплата пособий малоимущим гражданам и гражданам, оказавшимся в тяжелой жизненной ситуации за счет средств областного бюджета </t>
  </si>
  <si>
    <t>07 1 02 72350</t>
  </si>
  <si>
    <t xml:space="preserve">Выплата пособия лицам, которым присвоено звание "Почетный гражданин Белгородской области" за счет средств областного бюджета </t>
  </si>
  <si>
    <t>07 1 02 72360</t>
  </si>
  <si>
    <t xml:space="preserve">Выплата субсидий ветеранам боевых действий и  другим категориям военнослужащих  за счет средств областного бюджета </t>
  </si>
  <si>
    <t>07 1 02 72370</t>
  </si>
  <si>
    <t>10 2 01 00590</t>
  </si>
  <si>
    <t xml:space="preserve">Основное мероприятие "Мероприятия по снижению рисков и смягчению последствий чрезвычайных ситуаций"   </t>
  </si>
  <si>
    <t>10 2 02</t>
  </si>
  <si>
    <t>10 2 02 22410</t>
  </si>
  <si>
    <t xml:space="preserve">Мероприятия по снижению рисков и смягчению последствий чрезвычайных ситуаций </t>
  </si>
  <si>
    <t>Подпрограмма "Охрана окружающей среды"</t>
  </si>
  <si>
    <t>10 3</t>
  </si>
  <si>
    <t xml:space="preserve">Основное мероприятие "Природоохранные мероприятия"   </t>
  </si>
  <si>
    <t>10 3 01</t>
  </si>
  <si>
    <t>10 3 01 22510</t>
  </si>
  <si>
    <t xml:space="preserve">Природоохранные мероприятия </t>
  </si>
  <si>
    <t>Муниципальная программа "Муниципальное управление и развитие муниципальной кадровой политики городского округа "Город Белгород" на 2017-2020 годы"</t>
  </si>
  <si>
    <t>13</t>
  </si>
  <si>
    <t xml:space="preserve">Подпрограмма "Развитие системы муниципальной кадровой политики"  </t>
  </si>
  <si>
    <t>13 1</t>
  </si>
  <si>
    <t>Основное мероприятие "Организация дополнительного профессионального образования, в том числе проведение внутриорганизационного обучения"</t>
  </si>
  <si>
    <t>13 1 01</t>
  </si>
  <si>
    <t>13 1 01 21711</t>
  </si>
  <si>
    <t>Организация дополнительного профессионального образования, в том числе проведение внутриорганизационного обучения</t>
  </si>
  <si>
    <t>Основное мероприятие "Совершенствование системы мотивации муниципальных служащих"</t>
  </si>
  <si>
    <t>13 1 02</t>
  </si>
  <si>
    <t xml:space="preserve">13 1 02 21712 </t>
  </si>
  <si>
    <t>Совершенствование системы мотивации муниципальных служащих</t>
  </si>
  <si>
    <t>Основное мероприятие "Внедрение автоматизированных систем сбора, обработки и хранения информации"</t>
  </si>
  <si>
    <t>13 1 03</t>
  </si>
  <si>
    <t>13 1 03 21713</t>
  </si>
  <si>
    <t>Внедрение автоматизированных систем сбора, обработки и хранения информации</t>
  </si>
  <si>
    <t xml:space="preserve">Основное мероприятие "Обеспечение деятельности (оказание услуг) муниципальных учреждений городского округа «Город Белгород»" </t>
  </si>
  <si>
    <t>13 1 04</t>
  </si>
  <si>
    <t>13 1 04 00590</t>
  </si>
  <si>
    <t>Основное мероприятие "Проведение обучающих семинаров, научно-практических конференций, круглых столов по актуальным вопросам муниципального управления"</t>
  </si>
  <si>
    <t>13 1 05</t>
  </si>
  <si>
    <t>13 1 05 21714</t>
  </si>
  <si>
    <t>05 1 03 71120</t>
  </si>
  <si>
    <t>05 3 01 R0270</t>
  </si>
  <si>
    <t>Реализация пилотных проектов по обновлению содержания и технологий дополнительного образования по приоритетным направлениям за счет средств вышестоящих бюджетов</t>
  </si>
  <si>
    <t>05 3 04 70550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</si>
  <si>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</t>
  </si>
  <si>
    <t>07 1 01 72560</t>
  </si>
  <si>
    <t>Выплата вознаграждения приемному родителю, оплата труда родителя - воспитателя за счет средств областного бюджета</t>
  </si>
  <si>
    <t>07 1 02 72890</t>
  </si>
  <si>
    <t>Средства, передаваемые для компенсации расходов, возникших в результате решений, принятых органами власти другого уровня, за счет средств резервного фонда Правительства Белгородской области</t>
  </si>
  <si>
    <t>99 9 00 70550</t>
  </si>
  <si>
    <t>02 3 09 24010</t>
  </si>
  <si>
    <t>Мероприятия по проведению технической инвентаризации объекта недвижимого имущества, имеющего признаки бесхозяйного, и изготовлению технического плана на объект</t>
  </si>
  <si>
    <t>02 3 10 21330</t>
  </si>
  <si>
    <t>Основное мероприятие "Мероприятия по проведению технической инвентаризации объекта недвижимого имущества, имеющего признаки бесхозяйного, и изготовлению технического плана на объект"</t>
  </si>
  <si>
    <t>02 3 10</t>
  </si>
  <si>
    <t>Капитальный ремонт и ремонт сети автомобильных дорог общего пользования местного значения за счет средств бюджета городского округа "Город Белгород"</t>
  </si>
  <si>
    <t>03 1 01 S2140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</si>
  <si>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за счет средств федерального бюджета</t>
  </si>
  <si>
    <t>04 1 02 51760</t>
  </si>
  <si>
    <t>04 1 03 L4970</t>
  </si>
  <si>
    <t>Строительство и приобретение объектов недвижимого имущества муниципальной собственности за счет средств бюджета городского округа "Город Белгород"</t>
  </si>
  <si>
    <t>05 1 03 S1120</t>
  </si>
  <si>
    <t>Мероприятия по внедрению в общеобразовательные организации системы мониторинга здоровья обучающихся с ограниченными возможностями здоровья на основе отечественной технологической платформы за счет средств бюджета городского округа</t>
  </si>
  <si>
    <t>05 2 04 L5640</t>
  </si>
  <si>
    <t>05 3 01 L0270</t>
  </si>
  <si>
    <t>09 2 01 L0810</t>
  </si>
  <si>
    <t>Мероприятия по рекультивации объектов накопленного вреда окружающей среде за счет средств бюджета городского округа</t>
  </si>
  <si>
    <t>10 3 04 S1410</t>
  </si>
  <si>
    <t>15 2 01 24010</t>
  </si>
  <si>
    <t xml:space="preserve">Основное мероприятие "Субсидирование недополученных доходов АО "Мастерславль – Белгород" от оказания зрелищно-развлекательных услуг для обучающихся общеобразовательных организаций города Белгорода в целях развития культурной деятельности" </t>
  </si>
  <si>
    <t>05 5 04 60130</t>
  </si>
  <si>
    <t>05 5 04</t>
  </si>
  <si>
    <t>от « __ » ______ 2018 г. № __</t>
  </si>
  <si>
    <t>Проведение обучающих семинаров, научно-практических конференций, круглых столов по актуальным вопросам муниципального управления</t>
  </si>
  <si>
    <t>Основное мероприятие "Осуществление издательской деятельности"</t>
  </si>
  <si>
    <t>13 1 06</t>
  </si>
  <si>
    <t>13 1 06 21715</t>
  </si>
  <si>
    <t>Осуществление издательской деятельности</t>
  </si>
  <si>
    <t>Основное мероприятие "Размещение социальной рекламы по противодействию коррупции, в том числе с использованием печатной продукции"</t>
  </si>
  <si>
    <t>13 1 08</t>
  </si>
  <si>
    <t>13 1 08 21717</t>
  </si>
  <si>
    <t>Размещение социальной рекламы по противодействию коррупции, в том числе с использованием печатной продукции</t>
  </si>
  <si>
    <t>Основное мероприятие "Совершенствование корпоративной культуры в структурных подразделениях"</t>
  </si>
  <si>
    <t>13 1 09</t>
  </si>
  <si>
    <t>13 1 09 21718</t>
  </si>
  <si>
    <t>Совершенствование корпоративной культуры в структурных подразделениях</t>
  </si>
  <si>
    <t>Подпрограмма "Повышение качества и доступности предоставления государственных и муниципальных услуг по принципу "одного окна"</t>
  </si>
  <si>
    <t>13 2</t>
  </si>
  <si>
    <t>13 2 010</t>
  </si>
  <si>
    <t>13 2 01 00590</t>
  </si>
  <si>
    <t>Муниципальная программа "Развитие солидарного общества и информационного пространства городского округа "Город Белгород" на 2017-2020 годы"</t>
  </si>
  <si>
    <t xml:space="preserve">Подпрограмма «Развитие общественного самоуправления на территории города Белгорода»                                                                                                                                                                                       </t>
  </si>
  <si>
    <t>14 1</t>
  </si>
  <si>
    <t>Основное мероприятие "Информационная поддержка работы органов общественного самоуправления, выпуск печатной продукции"</t>
  </si>
  <si>
    <t>14 1 01</t>
  </si>
  <si>
    <t>14 1 01 21720</t>
  </si>
  <si>
    <t>Информационная поддержка работы органов общественного самоуправления, выпуск печатной продукции</t>
  </si>
  <si>
    <t>14 1 02</t>
  </si>
  <si>
    <t>14 1 02 20990</t>
  </si>
  <si>
    <t>Проведение конкурсов, фестивалей и иных мероприятий</t>
  </si>
  <si>
    <t>Основное мероприятие "Мероприятия по поддержке социальной активности граждан пожилого возраста"</t>
  </si>
  <si>
    <t>14 1 03</t>
  </si>
  <si>
    <t>14 1 03 21722</t>
  </si>
  <si>
    <t>Мероприятия по поддержке социальной активности граждан пожилого возраста</t>
  </si>
  <si>
    <t>Подпрограмма "Молодежь - Белому городу"</t>
  </si>
  <si>
    <t>14 2</t>
  </si>
  <si>
    <t>14 2 01</t>
  </si>
  <si>
    <t>14 2 01 20990</t>
  </si>
  <si>
    <t xml:space="preserve">Проведение конкурсов, фестивалей и иных мероприятий  </t>
  </si>
  <si>
    <t>14 2 02</t>
  </si>
  <si>
    <t>14 2 02 00190</t>
  </si>
  <si>
    <t xml:space="preserve">Обеспечение функций органов власти городского округа "Город Белгород"  </t>
  </si>
  <si>
    <t>Подпрограмма "Открытый город"</t>
  </si>
  <si>
    <t>14 3</t>
  </si>
  <si>
    <t>14 3 01</t>
  </si>
  <si>
    <t>14 3 01 00590</t>
  </si>
  <si>
    <t>14 3 02</t>
  </si>
  <si>
    <t>14 3 02 20990</t>
  </si>
  <si>
    <t>Муниципальная программа "Формирование современной городской среды городского округа "Город Белгород" на 2018-2022 годы"</t>
  </si>
  <si>
    <t>15</t>
  </si>
  <si>
    <t>15 1</t>
  </si>
  <si>
    <t>15 1 01 L5550</t>
  </si>
  <si>
    <t>Мероприятия по формированию современной городской среды за счет средств бюджета городского округа "Город Белгород"</t>
  </si>
  <si>
    <t xml:space="preserve">15 1 01 R5550 </t>
  </si>
  <si>
    <t>Мероприятия по формированию современной городской среды за счет средств вышестоящих бюджетов</t>
  </si>
  <si>
    <t>Подпрограмма "Благоустройство общественных пространств и иных территорий соответствующего функционального назначения города Белгород"</t>
  </si>
  <si>
    <t>15 2</t>
  </si>
  <si>
    <t xml:space="preserve">Основное мероприятие "Выполнение работ по благоустройству общественных пространств и иных территорий соответствующего функционального назначения города Белгорода "  </t>
  </si>
  <si>
    <t>15 2 01</t>
  </si>
  <si>
    <t>15 1 01</t>
  </si>
  <si>
    <t>15 2 01 L5550</t>
  </si>
  <si>
    <t>15 2 01 R5550</t>
  </si>
  <si>
    <t>Реализация функций органов власти городского округа "Город Белгород"</t>
  </si>
  <si>
    <t>Иные бюджетные ассигнования</t>
  </si>
  <si>
    <t>Иные непрограммные мероприятия</t>
  </si>
  <si>
    <t>99</t>
  </si>
  <si>
    <t>99 9</t>
  </si>
  <si>
    <t>99 9 00 00190</t>
  </si>
  <si>
    <t>99 9 00 00210</t>
  </si>
  <si>
    <t xml:space="preserve">Расходы на выплаты по оплате труда главы администрации города Белгорода  </t>
  </si>
  <si>
    <t>99 9 00 00220</t>
  </si>
  <si>
    <t xml:space="preserve">Мероприятия, связанные с организацией деятельности территориальных комиссий по делам несовершеннолетних и защите их прав </t>
  </si>
  <si>
    <t>99 9 00 00230</t>
  </si>
  <si>
    <t>Осуществление полномочий в области охраны труда</t>
  </si>
  <si>
    <t>99 9 00 00510</t>
  </si>
  <si>
    <t>99 9 00 00590</t>
  </si>
  <si>
    <t>99 9 00 00610</t>
  </si>
  <si>
    <t xml:space="preserve">Государственная регистрация актов гражданского состояния </t>
  </si>
  <si>
    <t>99 9 00 00710</t>
  </si>
  <si>
    <t xml:space="preserve">Расходы на выплаты по оплате труда членов избирательной комиссии города Белгорода </t>
  </si>
  <si>
    <t>99 9 00 00770</t>
  </si>
  <si>
    <t xml:space="preserve">Проведение выборов в законодательный (представительный) орган городского округа "Город Белгород" </t>
  </si>
  <si>
    <t>99 9 00 00810</t>
  </si>
  <si>
    <t xml:space="preserve">Расходы на выплаты по оплате труда председателя Контрольно-счетной палаты города Белгорода и его заместителей  </t>
  </si>
  <si>
    <t>99 9 00 21910</t>
  </si>
  <si>
    <t xml:space="preserve">Прохождение диспансеризации муниципальными служащими городского округа "Город Белгород" </t>
  </si>
  <si>
    <t>99 9 00 24010</t>
  </si>
  <si>
    <t>99 9 00 29010</t>
  </si>
  <si>
    <t xml:space="preserve">Исполнение судебных актов и мировых соглашений </t>
  </si>
  <si>
    <t>99 9 00 29020</t>
  </si>
  <si>
    <t xml:space="preserve">Резервный фонд администрации города Белгорода </t>
  </si>
  <si>
    <t>99 9 00 29030</t>
  </si>
  <si>
    <t>700</t>
  </si>
  <si>
    <t xml:space="preserve">Процентные платежи по муниципальному долгу </t>
  </si>
  <si>
    <t>99 9 00 29040</t>
  </si>
  <si>
    <t xml:space="preserve">Расходы на проведение барьерной дератизации </t>
  </si>
  <si>
    <t>99 9 00 29990</t>
  </si>
  <si>
    <t>Капитальные вложения в объекты государственной (муниципальной) собственности</t>
  </si>
  <si>
    <t>99 9 00 40010</t>
  </si>
  <si>
    <t>99 9 00 51200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</si>
  <si>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 </t>
  </si>
  <si>
    <t>99 9 00 59300</t>
  </si>
  <si>
    <t xml:space="preserve">Государственная регистрация актов гражданского состояния (в соответствии с пунктом 1 статьи 4 Федерального закона от 15 ноября 1997 года № 143-ФЗ "Об актах гражданского состояния") за счет средств федерального бюджета </t>
  </si>
  <si>
    <t>99 9 00 71210</t>
  </si>
  <si>
    <t xml:space="preserve">Осуществление полномочий в области охраны труда за счет средств областного бюджета </t>
  </si>
  <si>
    <t>99 9 00 71220</t>
  </si>
  <si>
    <t xml:space="preserve">Мероприятия, связанные с организацией деятельности территориальных комиссий по делам несовершеннолетних и защите их прав, за счет средств областного бюджета </t>
  </si>
  <si>
    <t>99 9 00 71310</t>
  </si>
  <si>
    <t xml:space="preserve">Осуществление отдельных государственных полномочий по рассмотрению дел об административных правонарушениях за счет средств областного бюджета </t>
  </si>
  <si>
    <t>99 9 00 L5110</t>
  </si>
  <si>
    <t>Проведение комплексных кадастровых работ за счет средств бюджета городского округа "Город Белгород"</t>
  </si>
  <si>
    <t>ВСЕГО расходов по бюджету</t>
  </si>
  <si>
    <t xml:space="preserve"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 за счет средств областного бюджета </t>
  </si>
  <si>
    <t>07 1 02 72410</t>
  </si>
  <si>
    <t xml:space="preserve">Ежемесячные денежные выплаты ветеранам труда, ветеранам военной службы за счет средств областного бюджета </t>
  </si>
  <si>
    <t>07 1 02 72420</t>
  </si>
  <si>
    <t xml:space="preserve">Ежемесячные денежные выплаты труженикам тыла за счет средств областного бюджета </t>
  </si>
  <si>
    <t>07 1 02 72430</t>
  </si>
  <si>
    <t xml:space="preserve">Ежемесячные денежные выплаты реабилитированным лицам за счет средств областного бюджета </t>
  </si>
  <si>
    <t>07 1 02 72440</t>
  </si>
  <si>
    <t xml:space="preserve">Ежемесячные денежные выплаты лицам, признанными пострадавшими от политических репрессий, за счет средств областного бюджета </t>
  </si>
  <si>
    <t>07 1 02 72450</t>
  </si>
  <si>
    <t xml:space="preserve">Ежемесячные денежные выплаты лицам, родившимся в период с 22 июня 1923 года по 3 сентября 1945 года (Дети войны) за счет средств областного бюджета </t>
  </si>
  <si>
    <t>07 1 02 72620</t>
  </si>
  <si>
    <t xml:space="preserve">Предоставление материальной и иной помощи для погребения за счет средств областного бюджета </t>
  </si>
  <si>
    <t>07 1 02 72850</t>
  </si>
  <si>
    <t>Выплата ежемесячных пособий гражданам, имеющим детей, за счет средств областного бюджета</t>
  </si>
  <si>
    <t>07 1 02 72860</t>
  </si>
  <si>
    <t xml:space="preserve">Осуществление мер социальной защиты граждан, являющихся усыновителями, за счет средств областного бюджета </t>
  </si>
  <si>
    <t>07 1 02 72870</t>
  </si>
  <si>
    <t xml:space="preserve">Содержание ребенка в семье опекуна и приемной семье, а также вознаграждение, причитающееся приемному родителю, за счет средств областного бюджета </t>
  </si>
  <si>
    <t>07 1 02 72880</t>
  </si>
  <si>
    <t xml:space="preserve">Осуществление мер социальной защиты многодетных семей за счет средств областного бюджета </t>
  </si>
  <si>
    <t>07 1 02 73000</t>
  </si>
  <si>
    <t xml:space="preserve">Осуществление дополнительных мер социальной защиты семей, родивших третьего и последующих детей по предоставлению материнского (семейного) капитала за счет средств областного бюджета </t>
  </si>
  <si>
    <t>07 1 02 73810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</si>
</sst>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30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quotePrefix="1">
      <alignment horizontal="center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8" fillId="24" borderId="11" xfId="0" applyNumberFormat="1" applyFont="1" applyFill="1" applyBorder="1" applyAlignment="1">
      <alignment/>
    </xf>
    <xf numFmtId="3" fontId="8" fillId="24" borderId="11" xfId="0" applyNumberFormat="1" applyFont="1" applyFill="1" applyBorder="1" applyAlignment="1" applyProtection="1">
      <alignment/>
      <protection/>
    </xf>
    <xf numFmtId="3" fontId="8" fillId="25" borderId="11" xfId="0" applyNumberFormat="1" applyFont="1" applyFill="1" applyBorder="1" applyAlignment="1">
      <alignment/>
    </xf>
    <xf numFmtId="3" fontId="8" fillId="25" borderId="11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7" fillId="24" borderId="11" xfId="0" applyNumberFormat="1" applyFont="1" applyFill="1" applyBorder="1" applyAlignment="1">
      <alignment/>
    </xf>
    <xf numFmtId="3" fontId="7" fillId="25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horizontal="right"/>
      <protection/>
    </xf>
    <xf numFmtId="3" fontId="8" fillId="24" borderId="11" xfId="0" applyNumberFormat="1" applyFont="1" applyFill="1" applyBorder="1" applyAlignment="1">
      <alignment/>
    </xf>
    <xf numFmtId="3" fontId="8" fillId="22" borderId="11" xfId="0" applyNumberFormat="1" applyFont="1" applyFill="1" applyBorder="1" applyAlignment="1" applyProtection="1">
      <alignment horizontal="right"/>
      <protection/>
    </xf>
    <xf numFmtId="3" fontId="8" fillId="4" borderId="11" xfId="0" applyNumberFormat="1" applyFont="1" applyFill="1" applyBorder="1" applyAlignment="1" applyProtection="1">
      <alignment horizontal="right"/>
      <protection/>
    </xf>
    <xf numFmtId="3" fontId="8" fillId="0" borderId="11" xfId="0" applyNumberFormat="1" applyFont="1" applyFill="1" applyBorder="1" applyAlignment="1">
      <alignment/>
    </xf>
    <xf numFmtId="3" fontId="8" fillId="24" borderId="11" xfId="0" applyNumberFormat="1" applyFont="1" applyFill="1" applyBorder="1" applyAlignment="1">
      <alignment/>
    </xf>
    <xf numFmtId="3" fontId="8" fillId="25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8" fillId="24" borderId="11" xfId="0" applyNumberFormat="1" applyFont="1" applyFill="1" applyBorder="1" applyAlignment="1" applyProtection="1">
      <alignment/>
      <protection/>
    </xf>
    <xf numFmtId="3" fontId="8" fillId="24" borderId="11" xfId="0" applyNumberFormat="1" applyFont="1" applyFill="1" applyBorder="1" applyAlignment="1" applyProtection="1">
      <alignment/>
      <protection/>
    </xf>
    <xf numFmtId="3" fontId="8" fillId="25" borderId="11" xfId="0" applyNumberFormat="1" applyFont="1" applyFill="1" applyBorder="1" applyAlignment="1" applyProtection="1">
      <alignment/>
      <protection/>
    </xf>
    <xf numFmtId="3" fontId="8" fillId="25" borderId="11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8" fillId="24" borderId="11" xfId="0" applyNumberFormat="1" applyFont="1" applyFill="1" applyBorder="1" applyAlignment="1" applyProtection="1">
      <alignment/>
      <protection/>
    </xf>
    <xf numFmtId="3" fontId="8" fillId="25" borderId="11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 quotePrefix="1">
      <alignment horizontal="left" wrapText="1"/>
      <protection/>
    </xf>
    <xf numFmtId="3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24" borderId="11" xfId="0" applyNumberFormat="1" applyFont="1" applyFill="1" applyBorder="1" applyAlignment="1">
      <alignment/>
    </xf>
    <xf numFmtId="3" fontId="8" fillId="25" borderId="11" xfId="0" applyNumberFormat="1" applyFont="1" applyFill="1" applyBorder="1" applyAlignment="1">
      <alignment/>
    </xf>
    <xf numFmtId="3" fontId="8" fillId="25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 applyProtection="1">
      <alignment/>
      <protection/>
    </xf>
    <xf numFmtId="3" fontId="7" fillId="22" borderId="11" xfId="0" applyNumberFormat="1" applyFont="1" applyFill="1" applyBorder="1" applyAlignment="1" applyProtection="1">
      <alignment/>
      <protection/>
    </xf>
    <xf numFmtId="3" fontId="7" fillId="4" borderId="11" xfId="0" applyNumberFormat="1" applyFont="1" applyFill="1" applyBorder="1" applyAlignment="1" applyProtection="1">
      <alignment/>
      <protection/>
    </xf>
    <xf numFmtId="3" fontId="8" fillId="22" borderId="11" xfId="0" applyNumberFormat="1" applyFont="1" applyFill="1" applyBorder="1" applyAlignment="1" applyProtection="1">
      <alignment/>
      <protection/>
    </xf>
    <xf numFmtId="3" fontId="8" fillId="4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>
      <alignment wrapText="1"/>
    </xf>
    <xf numFmtId="3" fontId="7" fillId="22" borderId="11" xfId="0" applyNumberFormat="1" applyFont="1" applyFill="1" applyBorder="1" applyAlignment="1" applyProtection="1">
      <alignment/>
      <protection/>
    </xf>
    <xf numFmtId="3" fontId="7" fillId="4" borderId="11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wrapText="1"/>
    </xf>
    <xf numFmtId="3" fontId="8" fillId="22" borderId="11" xfId="0" applyNumberFormat="1" applyFont="1" applyFill="1" applyBorder="1" applyAlignment="1">
      <alignment/>
    </xf>
    <xf numFmtId="3" fontId="8" fillId="4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3" fontId="8" fillId="22" borderId="11" xfId="0" applyNumberFormat="1" applyFont="1" applyFill="1" applyBorder="1" applyAlignment="1">
      <alignment/>
    </xf>
    <xf numFmtId="3" fontId="8" fillId="4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3" fontId="7" fillId="22" borderId="11" xfId="0" applyNumberFormat="1" applyFont="1" applyFill="1" applyBorder="1" applyAlignment="1">
      <alignment/>
    </xf>
    <xf numFmtId="3" fontId="7" fillId="4" borderId="11" xfId="0" applyNumberFormat="1" applyFont="1" applyFill="1" applyBorder="1" applyAlignment="1">
      <alignment/>
    </xf>
    <xf numFmtId="0" fontId="8" fillId="0" borderId="11" xfId="0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3" fontId="7" fillId="0" borderId="11" xfId="0" applyNumberFormat="1" applyFont="1" applyFill="1" applyBorder="1" applyAlignment="1">
      <alignment/>
    </xf>
    <xf numFmtId="3" fontId="7" fillId="22" borderId="11" xfId="0" applyNumberFormat="1" applyFont="1" applyFill="1" applyBorder="1" applyAlignment="1">
      <alignment/>
    </xf>
    <xf numFmtId="3" fontId="7" fillId="4" borderId="11" xfId="0" applyNumberFormat="1" applyFont="1" applyFill="1" applyBorder="1" applyAlignment="1">
      <alignment/>
    </xf>
    <xf numFmtId="3" fontId="8" fillId="22" borderId="11" xfId="0" applyNumberFormat="1" applyFont="1" applyFill="1" applyBorder="1" applyAlignment="1" applyProtection="1">
      <alignment/>
      <protection/>
    </xf>
    <xf numFmtId="3" fontId="8" fillId="4" borderId="11" xfId="0" applyNumberFormat="1" applyFont="1" applyFill="1" applyBorder="1" applyAlignment="1" applyProtection="1">
      <alignment/>
      <protection/>
    </xf>
    <xf numFmtId="2" fontId="8" fillId="0" borderId="11" xfId="0" applyNumberFormat="1" applyFont="1" applyFill="1" applyBorder="1" applyAlignment="1" applyProtection="1">
      <alignment wrapText="1"/>
      <protection/>
    </xf>
    <xf numFmtId="3" fontId="8" fillId="22" borderId="11" xfId="0" applyNumberFormat="1" applyFont="1" applyFill="1" applyBorder="1" applyAlignment="1" applyProtection="1">
      <alignment/>
      <protection/>
    </xf>
    <xf numFmtId="3" fontId="8" fillId="4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 quotePrefix="1">
      <alignment horizontal="left" wrapText="1"/>
      <protection/>
    </xf>
    <xf numFmtId="3" fontId="8" fillId="22" borderId="11" xfId="0" applyNumberFormat="1" applyFont="1" applyFill="1" applyBorder="1" applyAlignment="1">
      <alignment/>
    </xf>
    <xf numFmtId="3" fontId="8" fillId="4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Font="1" applyFill="1" applyBorder="1" applyAlignment="1" applyProtection="1">
      <alignment wrapText="1"/>
      <protection/>
    </xf>
    <xf numFmtId="3" fontId="8" fillId="22" borderId="11" xfId="0" applyNumberFormat="1" applyFont="1" applyFill="1" applyBorder="1" applyAlignment="1">
      <alignment/>
    </xf>
    <xf numFmtId="3" fontId="8" fillId="4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 applyProtection="1" quotePrefix="1">
      <alignment horizontal="left" wrapText="1"/>
      <protection/>
    </xf>
    <xf numFmtId="3" fontId="8" fillId="22" borderId="11" xfId="0" applyNumberFormat="1" applyFont="1" applyFill="1" applyBorder="1" applyAlignment="1" applyProtection="1">
      <alignment/>
      <protection/>
    </xf>
    <xf numFmtId="3" fontId="8" fillId="4" borderId="11" xfId="0" applyNumberFormat="1" applyFont="1" applyFill="1" applyBorder="1" applyAlignment="1" applyProtection="1">
      <alignment/>
      <protection/>
    </xf>
    <xf numFmtId="2" fontId="7" fillId="0" borderId="11" xfId="0" applyNumberFormat="1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wrapText="1"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22" borderId="10" xfId="0" applyNumberFormat="1" applyFont="1" applyFill="1" applyBorder="1" applyAlignment="1" applyProtection="1">
      <alignment/>
      <protection/>
    </xf>
    <xf numFmtId="3" fontId="8" fillId="22" borderId="10" xfId="0" applyNumberFormat="1" applyFont="1" applyFill="1" applyBorder="1" applyAlignment="1" applyProtection="1">
      <alignment/>
      <protection/>
    </xf>
    <xf numFmtId="3" fontId="8" fillId="4" borderId="10" xfId="0" applyNumberFormat="1" applyFont="1" applyFill="1" applyBorder="1" applyAlignment="1" applyProtection="1">
      <alignment/>
      <protection/>
    </xf>
    <xf numFmtId="3" fontId="8" fillId="4" borderId="10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center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>
      <alignment/>
    </xf>
    <xf numFmtId="49" fontId="8" fillId="0" borderId="11" xfId="0" applyNumberFormat="1" applyFont="1" applyFill="1" applyBorder="1" applyAlignment="1" applyProtection="1" quotePrefix="1">
      <alignment horizontal="center"/>
      <protection/>
    </xf>
    <xf numFmtId="49" fontId="9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24" borderId="11" xfId="0" applyNumberFormat="1" applyFont="1" applyFill="1" applyBorder="1" applyAlignment="1" applyProtection="1">
      <alignment horizontal="center" vertical="center" wrapText="1"/>
      <protection/>
    </xf>
    <xf numFmtId="3" fontId="6" fillId="25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5" fillId="24" borderId="11" xfId="0" applyFont="1" applyFill="1" applyBorder="1" applyAlignment="1" applyProtection="1">
      <alignment horizontal="center"/>
      <protection/>
    </xf>
    <xf numFmtId="3" fontId="8" fillId="4" borderId="10" xfId="0" applyNumberFormat="1" applyFont="1" applyFill="1" applyBorder="1" applyAlignment="1">
      <alignment/>
    </xf>
    <xf numFmtId="3" fontId="5" fillId="24" borderId="11" xfId="0" applyNumberFormat="1" applyFont="1" applyFill="1" applyBorder="1" applyAlignment="1" applyProtection="1">
      <alignment horizontal="center"/>
      <protection/>
    </xf>
    <xf numFmtId="0" fontId="5" fillId="25" borderId="11" xfId="0" applyFont="1" applyFill="1" applyBorder="1" applyAlignment="1" applyProtection="1">
      <alignment horizontal="center"/>
      <protection/>
    </xf>
    <xf numFmtId="3" fontId="5" fillId="25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3" fontId="7" fillId="22" borderId="11" xfId="0" applyNumberFormat="1" applyFont="1" applyFill="1" applyBorder="1" applyAlignment="1" applyProtection="1">
      <alignment horizontal="right"/>
      <protection/>
    </xf>
    <xf numFmtId="3" fontId="7" fillId="4" borderId="11" xfId="0" applyNumberFormat="1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 applyProtection="1">
      <alignment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2" fontId="8" fillId="0" borderId="11" xfId="0" applyNumberFormat="1" applyFont="1" applyFill="1" applyBorder="1" applyAlignment="1">
      <alignment wrapText="1"/>
    </xf>
    <xf numFmtId="0" fontId="9" fillId="0" borderId="11" xfId="0" applyNumberFormat="1" applyFont="1" applyFill="1" applyBorder="1" applyAlignment="1" applyProtection="1">
      <alignment wrapText="1"/>
      <protection/>
    </xf>
    <xf numFmtId="2" fontId="7" fillId="0" borderId="11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 applyProtection="1" quotePrefix="1">
      <alignment horizontal="left" wrapText="1"/>
      <protection/>
    </xf>
    <xf numFmtId="172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2" fontId="8" fillId="0" borderId="11" xfId="0" applyNumberFormat="1" applyFont="1" applyFill="1" applyBorder="1" applyAlignment="1" quotePrefix="1">
      <alignment horizontal="left" wrapText="1"/>
    </xf>
    <xf numFmtId="0" fontId="8" fillId="0" borderId="11" xfId="0" applyNumberFormat="1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 quotePrefix="1">
      <alignment horizontal="left" wrapText="1"/>
      <protection/>
    </xf>
    <xf numFmtId="3" fontId="8" fillId="0" borderId="11" xfId="0" applyNumberFormat="1" applyFont="1" applyFill="1" applyBorder="1" applyAlignment="1">
      <alignment horizontal="right"/>
    </xf>
    <xf numFmtId="3" fontId="8" fillId="24" borderId="11" xfId="0" applyNumberFormat="1" applyFont="1" applyFill="1" applyBorder="1" applyAlignment="1">
      <alignment horizontal="right"/>
    </xf>
    <xf numFmtId="3" fontId="8" fillId="25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22" borderId="10" xfId="0" applyNumberFormat="1" applyFont="1" applyFill="1" applyBorder="1" applyAlignment="1">
      <alignment/>
    </xf>
    <xf numFmtId="3" fontId="8" fillId="22" borderId="10" xfId="0" applyNumberFormat="1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quotePrefix="1">
      <alignment horizontal="left" wrapText="1"/>
    </xf>
    <xf numFmtId="49" fontId="8" fillId="0" borderId="10" xfId="0" applyNumberFormat="1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quotePrefix="1">
      <alignment horizontal="left"/>
    </xf>
    <xf numFmtId="49" fontId="8" fillId="0" borderId="10" xfId="0" applyNumberFormat="1" applyFont="1" applyFill="1" applyBorder="1" applyAlignment="1">
      <alignment horizontal="left"/>
    </xf>
    <xf numFmtId="3" fontId="8" fillId="24" borderId="10" xfId="0" applyNumberFormat="1" applyFont="1" applyFill="1" applyBorder="1" applyAlignment="1" applyProtection="1">
      <alignment/>
      <protection/>
    </xf>
    <xf numFmtId="3" fontId="8" fillId="24" borderId="10" xfId="0" applyNumberFormat="1" applyFont="1" applyFill="1" applyBorder="1" applyAlignment="1" applyProtection="1">
      <alignment/>
      <protection/>
    </xf>
    <xf numFmtId="3" fontId="8" fillId="25" borderId="10" xfId="0" applyNumberFormat="1" applyFont="1" applyFill="1" applyBorder="1" applyAlignment="1" applyProtection="1">
      <alignment/>
      <protection/>
    </xf>
    <xf numFmtId="3" fontId="8" fillId="25" borderId="10" xfId="0" applyNumberFormat="1" applyFont="1" applyFill="1" applyBorder="1" applyAlignment="1" applyProtection="1">
      <alignment/>
      <protection/>
    </xf>
    <xf numFmtId="49" fontId="8" fillId="0" borderId="10" xfId="0" applyNumberFormat="1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49" fontId="9" fillId="0" borderId="11" xfId="0" applyNumberFormat="1" applyFont="1" applyFill="1" applyBorder="1" applyAlignment="1" applyProtection="1">
      <alignment horizontal="left" wrapText="1"/>
      <protection/>
    </xf>
    <xf numFmtId="49" fontId="8" fillId="0" borderId="11" xfId="0" applyNumberFormat="1" applyFont="1" applyFill="1" applyBorder="1" applyAlignment="1" applyProtection="1" quotePrefix="1">
      <alignment horizontal="left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 quotePrefix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 quotePrefix="1">
      <alignment horizontal="left"/>
    </xf>
    <xf numFmtId="49" fontId="9" fillId="0" borderId="11" xfId="0" applyNumberFormat="1" applyFont="1" applyFill="1" applyBorder="1" applyAlignment="1" applyProtection="1">
      <alignment horizontal="left" wrapText="1"/>
      <protection/>
    </xf>
    <xf numFmtId="49" fontId="7" fillId="0" borderId="11" xfId="0" applyNumberFormat="1" applyFont="1" applyFill="1" applyBorder="1" applyAlignment="1" applyProtection="1" quotePrefix="1">
      <alignment horizontal="left"/>
      <protection/>
    </xf>
    <xf numFmtId="49" fontId="8" fillId="0" borderId="11" xfId="0" applyNumberFormat="1" applyFont="1" applyFill="1" applyBorder="1" applyAlignment="1" applyProtection="1" quotePrefix="1">
      <alignment horizontal="left"/>
      <protection/>
    </xf>
    <xf numFmtId="49" fontId="9" fillId="0" borderId="11" xfId="0" applyNumberFormat="1" applyFont="1" applyFill="1" applyBorder="1" applyAlignment="1" applyProtection="1" quotePrefix="1">
      <alignment horizontal="left"/>
      <protection/>
    </xf>
    <xf numFmtId="49" fontId="9" fillId="0" borderId="11" xfId="0" applyNumberFormat="1" applyFont="1" applyFill="1" applyBorder="1" applyAlignment="1" applyProtection="1">
      <alignment horizontal="left"/>
      <protection/>
    </xf>
    <xf numFmtId="49" fontId="11" fillId="0" borderId="11" xfId="0" applyNumberFormat="1" applyFont="1" applyFill="1" applyBorder="1" applyAlignment="1" applyProtection="1" quotePrefix="1">
      <alignment horizontal="left" wrapText="1"/>
      <protection/>
    </xf>
    <xf numFmtId="49" fontId="9" fillId="0" borderId="11" xfId="0" applyNumberFormat="1" applyFont="1" applyFill="1" applyBorder="1" applyAlignment="1" applyProtection="1" quotePrefix="1">
      <alignment horizontal="left" wrapText="1"/>
      <protection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 quotePrefix="1">
      <alignment horizontal="left" wrapText="1"/>
    </xf>
    <xf numFmtId="49" fontId="9" fillId="0" borderId="11" xfId="0" applyNumberFormat="1" applyFont="1" applyFill="1" applyBorder="1" applyAlignment="1" applyProtection="1" quotePrefix="1">
      <alignment horizontal="left" wrapText="1"/>
      <protection/>
    </xf>
    <xf numFmtId="49" fontId="9" fillId="0" borderId="11" xfId="0" applyNumberFormat="1" applyFont="1" applyFill="1" applyBorder="1" applyAlignment="1" quotePrefix="1">
      <alignment horizontal="left" wrapText="1"/>
    </xf>
    <xf numFmtId="49" fontId="11" fillId="0" borderId="11" xfId="0" applyNumberFormat="1" applyFont="1" applyFill="1" applyBorder="1" applyAlignment="1" applyProtection="1" quotePrefix="1">
      <alignment horizontal="left"/>
      <protection/>
    </xf>
    <xf numFmtId="49" fontId="9" fillId="0" borderId="11" xfId="0" applyNumberFormat="1" applyFont="1" applyFill="1" applyBorder="1" applyAlignment="1" quotePrefix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0" fontId="11" fillId="0" borderId="11" xfId="0" applyNumberFormat="1" applyFont="1" applyFill="1" applyBorder="1" applyAlignment="1" applyProtection="1" quotePrefix="1">
      <alignment horizontal="left"/>
      <protection/>
    </xf>
    <xf numFmtId="0" fontId="9" fillId="0" borderId="11" xfId="0" applyNumberFormat="1" applyFont="1" applyFill="1" applyBorder="1" applyAlignment="1" applyProtection="1" quotePrefix="1">
      <alignment horizontal="left"/>
      <protection/>
    </xf>
    <xf numFmtId="0" fontId="9" fillId="0" borderId="11" xfId="0" applyNumberFormat="1" applyFont="1" applyFill="1" applyBorder="1" applyAlignment="1" applyProtection="1">
      <alignment horizontal="left"/>
      <protection/>
    </xf>
    <xf numFmtId="49" fontId="7" fillId="0" borderId="11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3" fontId="8" fillId="24" borderId="10" xfId="0" applyNumberFormat="1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8" fillId="0" borderId="10" xfId="0" applyFont="1" applyFill="1" applyBorder="1" applyAlignment="1" quotePrefix="1">
      <alignment horizontal="left" wrapText="1"/>
    </xf>
    <xf numFmtId="16" fontId="9" fillId="0" borderId="10" xfId="0" applyNumberFormat="1" applyFont="1" applyFill="1" applyBorder="1" applyAlignment="1" quotePrefix="1">
      <alignment horizontal="left" wrapText="1"/>
    </xf>
    <xf numFmtId="2" fontId="8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 quotePrefix="1">
      <alignment horizontal="left"/>
    </xf>
    <xf numFmtId="49" fontId="9" fillId="0" borderId="10" xfId="0" applyNumberFormat="1" applyFont="1" applyFill="1" applyBorder="1" applyAlignment="1" quotePrefix="1">
      <alignment horizontal="left" wrapText="1"/>
    </xf>
    <xf numFmtId="0" fontId="8" fillId="0" borderId="12" xfId="0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wrapText="1"/>
      <protection/>
    </xf>
    <xf numFmtId="49" fontId="8" fillId="0" borderId="13" xfId="0" applyNumberFormat="1" applyFont="1" applyFill="1" applyBorder="1" applyAlignment="1" applyProtection="1" quotePrefix="1">
      <alignment horizontal="left"/>
      <protection/>
    </xf>
    <xf numFmtId="49" fontId="8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 applyProtection="1" quotePrefix="1">
      <alignment horizontal="center" wrapText="1"/>
      <protection/>
    </xf>
    <xf numFmtId="49" fontId="9" fillId="0" borderId="1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 quotePrefix="1">
      <alignment horizontal="left" wrapText="1"/>
      <protection/>
    </xf>
    <xf numFmtId="49" fontId="9" fillId="0" borderId="10" xfId="0" applyNumberFormat="1" applyFont="1" applyFill="1" applyBorder="1" applyAlignment="1" applyProtection="1">
      <alignment horizontal="left" wrapText="1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22" borderId="10" xfId="0" applyNumberFormat="1" applyFont="1" applyFill="1" applyBorder="1" applyAlignment="1">
      <alignment/>
    </xf>
    <xf numFmtId="3" fontId="8" fillId="22" borderId="10" xfId="0" applyNumberFormat="1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quotePrefix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 applyProtection="1" quotePrefix="1">
      <alignment horizontal="center"/>
      <protection/>
    </xf>
    <xf numFmtId="49" fontId="9" fillId="0" borderId="10" xfId="0" applyNumberFormat="1" applyFont="1" applyFill="1" applyBorder="1" applyAlignment="1" quotePrefix="1">
      <alignment horizontal="center" wrapText="1"/>
    </xf>
    <xf numFmtId="49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22" borderId="10" xfId="0" applyNumberFormat="1" applyFont="1" applyFill="1" applyBorder="1" applyAlignment="1" applyProtection="1">
      <alignment/>
      <protection/>
    </xf>
    <xf numFmtId="3" fontId="8" fillId="4" borderId="10" xfId="0" applyNumberFormat="1" applyFont="1" applyFill="1" applyBorder="1" applyAlignment="1" applyProtection="1">
      <alignment/>
      <protection/>
    </xf>
    <xf numFmtId="49" fontId="8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0" xfId="0" applyFill="1" applyAlignment="1">
      <alignment horizontal="center"/>
    </xf>
    <xf numFmtId="2" fontId="8" fillId="0" borderId="10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2" fontId="7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 quotePrefix="1">
      <alignment horizontal="left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8" fillId="0" borderId="10" xfId="0" applyFont="1" applyFill="1" applyBorder="1" applyAlignment="1">
      <alignment wrapText="1"/>
    </xf>
    <xf numFmtId="3" fontId="8" fillId="24" borderId="17" xfId="0" applyNumberFormat="1" applyFont="1" applyFill="1" applyBorder="1" applyAlignment="1">
      <alignment/>
    </xf>
    <xf numFmtId="3" fontId="8" fillId="26" borderId="11" xfId="0" applyNumberFormat="1" applyFont="1" applyFill="1" applyBorder="1" applyAlignment="1">
      <alignment/>
    </xf>
    <xf numFmtId="3" fontId="8" fillId="26" borderId="11" xfId="0" applyNumberFormat="1" applyFont="1" applyFill="1" applyBorder="1" applyAlignment="1" applyProtection="1">
      <alignment/>
      <protection/>
    </xf>
    <xf numFmtId="3" fontId="8" fillId="26" borderId="11" xfId="0" applyNumberFormat="1" applyFont="1" applyFill="1" applyBorder="1" applyAlignment="1" applyProtection="1">
      <alignment/>
      <protection/>
    </xf>
    <xf numFmtId="3" fontId="8" fillId="26" borderId="11" xfId="0" applyNumberFormat="1" applyFont="1" applyFill="1" applyBorder="1" applyAlignment="1">
      <alignment/>
    </xf>
    <xf numFmtId="3" fontId="8" fillId="26" borderId="11" xfId="0" applyNumberFormat="1" applyFont="1" applyFill="1" applyBorder="1" applyAlignment="1">
      <alignment/>
    </xf>
    <xf numFmtId="3" fontId="8" fillId="26" borderId="11" xfId="0" applyNumberFormat="1" applyFont="1" applyFill="1" applyBorder="1" applyAlignment="1" applyProtection="1">
      <alignment/>
      <protection/>
    </xf>
    <xf numFmtId="3" fontId="8" fillId="26" borderId="10" xfId="0" applyNumberFormat="1" applyFont="1" applyFill="1" applyBorder="1" applyAlignment="1" applyProtection="1">
      <alignment/>
      <protection/>
    </xf>
    <xf numFmtId="3" fontId="8" fillId="26" borderId="11" xfId="0" applyNumberFormat="1" applyFont="1" applyFill="1" applyBorder="1" applyAlignment="1" applyProtection="1">
      <alignment/>
      <protection/>
    </xf>
    <xf numFmtId="3" fontId="8" fillId="26" borderId="11" xfId="0" applyNumberFormat="1" applyFont="1" applyFill="1" applyBorder="1" applyAlignment="1">
      <alignment/>
    </xf>
    <xf numFmtId="3" fontId="8" fillId="26" borderId="10" xfId="0" applyNumberFormat="1" applyFont="1" applyFill="1" applyBorder="1" applyAlignment="1" applyProtection="1">
      <alignment/>
      <protection/>
    </xf>
    <xf numFmtId="3" fontId="8" fillId="26" borderId="10" xfId="0" applyNumberFormat="1" applyFont="1" applyFill="1" applyBorder="1" applyAlignment="1">
      <alignment/>
    </xf>
    <xf numFmtId="3" fontId="8" fillId="26" borderId="11" xfId="0" applyNumberFormat="1" applyFont="1" applyFill="1" applyBorder="1" applyAlignment="1">
      <alignment horizontal="right"/>
    </xf>
    <xf numFmtId="3" fontId="8" fillId="24" borderId="10" xfId="0" applyNumberFormat="1" applyFont="1" applyFill="1" applyBorder="1" applyAlignment="1">
      <alignment/>
    </xf>
    <xf numFmtId="3" fontId="8" fillId="26" borderId="10" xfId="0" applyNumberFormat="1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9" fillId="0" borderId="10" xfId="0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 applyProtection="1" quotePrefix="1">
      <alignment horizontal="left" wrapText="1"/>
      <protection/>
    </xf>
    <xf numFmtId="0" fontId="3" fillId="0" borderId="0" xfId="0" applyFont="1" applyFill="1" applyBorder="1" applyAlignment="1" quotePrefix="1">
      <alignment horizont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25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 quotePrefix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1" xfId="0" applyNumberFormat="1" applyFont="1" applyFill="1" applyBorder="1" applyAlignment="1" applyProtection="1" quotePrefix="1">
      <alignment horizontal="center" vertical="center" wrapText="1"/>
      <protection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3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5" borderId="11" xfId="0" applyNumberFormat="1" applyFont="1" applyFill="1" applyBorder="1" applyAlignment="1" applyProtection="1" quotePrefix="1">
      <alignment horizontal="center" vertical="center" wrapText="1"/>
      <protection/>
    </xf>
    <xf numFmtId="49" fontId="6" fillId="25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Приложение"/>
  <dimension ref="A1:H593"/>
  <sheetViews>
    <sheetView tabSelected="1" zoomScalePageLayoutView="0" workbookViewId="0" topLeftCell="A1">
      <selection activeCell="N15" sqref="N15"/>
    </sheetView>
  </sheetViews>
  <sheetFormatPr defaultColWidth="9.33203125" defaultRowHeight="12.75"/>
  <cols>
    <col min="1" max="1" width="34.16015625" style="1" customWidth="1"/>
    <col min="2" max="2" width="14" style="264" customWidth="1"/>
    <col min="3" max="3" width="9.16015625" style="2" customWidth="1"/>
    <col min="4" max="4" width="8.33203125" style="2" customWidth="1"/>
    <col min="5" max="5" width="8" style="2" customWidth="1"/>
    <col min="6" max="6" width="11.16015625" style="2" customWidth="1"/>
    <col min="7" max="7" width="12" style="2" customWidth="1"/>
    <col min="8" max="8" width="11.66015625" style="2" customWidth="1"/>
    <col min="9" max="16384" width="9.33203125" style="2" customWidth="1"/>
  </cols>
  <sheetData>
    <row r="1" spans="4:7" ht="15">
      <c r="D1" s="3"/>
      <c r="E1" s="3"/>
      <c r="G1" s="17" t="s">
        <v>365</v>
      </c>
    </row>
    <row r="2" spans="4:7" ht="15">
      <c r="D2" s="3"/>
      <c r="E2" s="3"/>
      <c r="G2" s="17" t="s">
        <v>200</v>
      </c>
    </row>
    <row r="3" spans="4:7" ht="15">
      <c r="D3" s="3"/>
      <c r="E3" s="3"/>
      <c r="G3" s="17" t="s">
        <v>201</v>
      </c>
    </row>
    <row r="4" spans="4:7" ht="15">
      <c r="D4" s="3"/>
      <c r="E4" s="3"/>
      <c r="G4" s="17" t="s">
        <v>677</v>
      </c>
    </row>
    <row r="5" spans="3:6" ht="15">
      <c r="C5" s="3"/>
      <c r="D5" s="3"/>
      <c r="E5" s="3"/>
      <c r="F5" s="3"/>
    </row>
    <row r="7" spans="1:8" ht="75.75" customHeight="1">
      <c r="A7" s="286" t="s">
        <v>364</v>
      </c>
      <c r="B7" s="286"/>
      <c r="C7" s="286"/>
      <c r="D7" s="286"/>
      <c r="E7" s="286"/>
      <c r="F7" s="286"/>
      <c r="G7" s="286"/>
      <c r="H7" s="286"/>
    </row>
    <row r="8" spans="1:6" ht="17.25">
      <c r="A8" s="263"/>
      <c r="B8" s="265"/>
      <c r="C8" s="4"/>
      <c r="D8" s="4"/>
      <c r="E8" s="4"/>
      <c r="F8" s="4"/>
    </row>
    <row r="9" spans="1:8" ht="12.75">
      <c r="A9" s="5"/>
      <c r="B9" s="266"/>
      <c r="C9" s="6"/>
      <c r="D9" s="6"/>
      <c r="E9" s="6"/>
      <c r="H9" s="7" t="s">
        <v>210</v>
      </c>
    </row>
    <row r="10" spans="1:8" s="8" customFormat="1" ht="17.25" customHeight="1">
      <c r="A10" s="287" t="s">
        <v>211</v>
      </c>
      <c r="B10" s="287" t="s">
        <v>214</v>
      </c>
      <c r="C10" s="289" t="s">
        <v>215</v>
      </c>
      <c r="D10" s="289" t="s">
        <v>212</v>
      </c>
      <c r="E10" s="289" t="s">
        <v>213</v>
      </c>
      <c r="F10" s="290" t="s">
        <v>217</v>
      </c>
      <c r="G10" s="289" t="s">
        <v>216</v>
      </c>
      <c r="H10" s="289"/>
    </row>
    <row r="11" spans="1:8" s="8" customFormat="1" ht="19.5" customHeight="1">
      <c r="A11" s="288"/>
      <c r="B11" s="288"/>
      <c r="C11" s="289"/>
      <c r="D11" s="289"/>
      <c r="E11" s="289"/>
      <c r="F11" s="289"/>
      <c r="G11" s="227" t="s">
        <v>202</v>
      </c>
      <c r="H11" s="227" t="s">
        <v>427</v>
      </c>
    </row>
    <row r="12" spans="1:8" s="8" customFormat="1" ht="12.75">
      <c r="A12" s="228">
        <v>1</v>
      </c>
      <c r="B12" s="228">
        <v>2</v>
      </c>
      <c r="C12" s="228">
        <v>3</v>
      </c>
      <c r="D12" s="228">
        <v>4</v>
      </c>
      <c r="E12" s="228">
        <v>5</v>
      </c>
      <c r="F12" s="228">
        <v>6</v>
      </c>
      <c r="G12" s="228">
        <v>7</v>
      </c>
      <c r="H12" s="228">
        <v>8</v>
      </c>
    </row>
    <row r="13" spans="1:8" ht="84" customHeight="1">
      <c r="A13" s="41" t="s">
        <v>295</v>
      </c>
      <c r="B13" s="183" t="s">
        <v>218</v>
      </c>
      <c r="C13" s="42"/>
      <c r="D13" s="42"/>
      <c r="E13" s="42"/>
      <c r="F13" s="73">
        <v>11797</v>
      </c>
      <c r="G13" s="43">
        <v>9948</v>
      </c>
      <c r="H13" s="43">
        <v>7753</v>
      </c>
    </row>
    <row r="14" spans="1:8" ht="60" customHeight="1">
      <c r="A14" s="41" t="s">
        <v>296</v>
      </c>
      <c r="B14" s="183" t="s">
        <v>366</v>
      </c>
      <c r="C14" s="42"/>
      <c r="D14" s="42"/>
      <c r="E14" s="42"/>
      <c r="F14" s="73">
        <v>11167</v>
      </c>
      <c r="G14" s="139">
        <v>9318</v>
      </c>
      <c r="H14" s="139">
        <v>7098</v>
      </c>
    </row>
    <row r="15" spans="1:8" ht="132" customHeight="1">
      <c r="A15" s="215" t="s">
        <v>555</v>
      </c>
      <c r="B15" s="184" t="s">
        <v>367</v>
      </c>
      <c r="C15" s="31"/>
      <c r="D15" s="31"/>
      <c r="E15" s="31"/>
      <c r="F15" s="46">
        <v>700</v>
      </c>
      <c r="G15" s="47">
        <v>700</v>
      </c>
      <c r="H15" s="47">
        <v>700</v>
      </c>
    </row>
    <row r="16" spans="1:8" ht="41.25">
      <c r="A16" s="216" t="s">
        <v>556</v>
      </c>
      <c r="B16" s="185" t="s">
        <v>297</v>
      </c>
      <c r="C16" s="32">
        <v>800</v>
      </c>
      <c r="D16" s="33" t="s">
        <v>240</v>
      </c>
      <c r="E16" s="33" t="s">
        <v>294</v>
      </c>
      <c r="F16" s="46">
        <v>700</v>
      </c>
      <c r="G16" s="51">
        <v>700</v>
      </c>
      <c r="H16" s="51">
        <v>700</v>
      </c>
    </row>
    <row r="17" spans="1:8" ht="45" customHeight="1">
      <c r="A17" s="54" t="s">
        <v>298</v>
      </c>
      <c r="B17" s="186" t="s">
        <v>368</v>
      </c>
      <c r="C17" s="31"/>
      <c r="D17" s="33"/>
      <c r="E17" s="33"/>
      <c r="F17" s="55">
        <v>558</v>
      </c>
      <c r="G17" s="56">
        <v>558</v>
      </c>
      <c r="H17" s="56">
        <v>576</v>
      </c>
    </row>
    <row r="18" spans="1:8" ht="30" customHeight="1">
      <c r="A18" s="35" t="s">
        <v>250</v>
      </c>
      <c r="B18" s="187" t="s">
        <v>299</v>
      </c>
      <c r="C18" s="33" t="s">
        <v>238</v>
      </c>
      <c r="D18" s="33" t="s">
        <v>240</v>
      </c>
      <c r="E18" s="33" t="s">
        <v>294</v>
      </c>
      <c r="F18" s="46">
        <v>558</v>
      </c>
      <c r="G18" s="51">
        <v>558</v>
      </c>
      <c r="H18" s="51">
        <v>576</v>
      </c>
    </row>
    <row r="19" spans="1:8" ht="102.75" customHeight="1">
      <c r="A19" s="54" t="s">
        <v>304</v>
      </c>
      <c r="B19" s="186" t="s">
        <v>369</v>
      </c>
      <c r="C19" s="33"/>
      <c r="D19" s="33"/>
      <c r="E19" s="33"/>
      <c r="F19" s="55">
        <v>99</v>
      </c>
      <c r="G19" s="56">
        <v>99</v>
      </c>
      <c r="H19" s="56">
        <v>103</v>
      </c>
    </row>
    <row r="20" spans="1:8" ht="90" customHeight="1">
      <c r="A20" s="35" t="s">
        <v>305</v>
      </c>
      <c r="B20" s="187" t="s">
        <v>306</v>
      </c>
      <c r="C20" s="33">
        <v>200</v>
      </c>
      <c r="D20" s="33" t="s">
        <v>240</v>
      </c>
      <c r="E20" s="33" t="s">
        <v>294</v>
      </c>
      <c r="F20" s="46">
        <v>99</v>
      </c>
      <c r="G20" s="51">
        <v>99</v>
      </c>
      <c r="H20" s="51">
        <v>103</v>
      </c>
    </row>
    <row r="21" spans="1:8" ht="75" customHeight="1">
      <c r="A21" s="61" t="s">
        <v>370</v>
      </c>
      <c r="B21" s="184" t="s">
        <v>371</v>
      </c>
      <c r="C21" s="31"/>
      <c r="D21" s="31"/>
      <c r="E21" s="31"/>
      <c r="F21" s="46">
        <v>200</v>
      </c>
      <c r="G21" s="47">
        <v>200</v>
      </c>
      <c r="H21" s="47">
        <v>208</v>
      </c>
    </row>
    <row r="22" spans="1:8" ht="58.5" customHeight="1">
      <c r="A22" s="61" t="s">
        <v>198</v>
      </c>
      <c r="B22" s="188" t="s">
        <v>199</v>
      </c>
      <c r="C22" s="62" t="s">
        <v>238</v>
      </c>
      <c r="D22" s="33" t="s">
        <v>240</v>
      </c>
      <c r="E22" s="31" t="s">
        <v>294</v>
      </c>
      <c r="F22" s="46">
        <v>200</v>
      </c>
      <c r="G22" s="51">
        <v>200</v>
      </c>
      <c r="H22" s="51">
        <v>208</v>
      </c>
    </row>
    <row r="23" spans="1:8" ht="139.5" customHeight="1">
      <c r="A23" s="63" t="s">
        <v>307</v>
      </c>
      <c r="B23" s="189" t="s">
        <v>372</v>
      </c>
      <c r="C23" s="30"/>
      <c r="D23" s="31"/>
      <c r="E23" s="31"/>
      <c r="F23" s="36">
        <v>9610</v>
      </c>
      <c r="G23" s="64">
        <v>7761</v>
      </c>
      <c r="H23" s="64">
        <v>5511</v>
      </c>
    </row>
    <row r="24" spans="1:8" ht="102.75" customHeight="1">
      <c r="A24" s="67" t="s">
        <v>209</v>
      </c>
      <c r="B24" s="184" t="s">
        <v>308</v>
      </c>
      <c r="C24" s="31" t="s">
        <v>239</v>
      </c>
      <c r="D24" s="31" t="s">
        <v>325</v>
      </c>
      <c r="E24" s="31" t="s">
        <v>325</v>
      </c>
      <c r="F24" s="68">
        <v>9610</v>
      </c>
      <c r="G24" s="69">
        <v>7761</v>
      </c>
      <c r="H24" s="69">
        <v>5511</v>
      </c>
    </row>
    <row r="25" spans="1:8" ht="41.25">
      <c r="A25" s="41" t="s">
        <v>309</v>
      </c>
      <c r="B25" s="183" t="s">
        <v>373</v>
      </c>
      <c r="C25" s="42"/>
      <c r="D25" s="42"/>
      <c r="E25" s="42"/>
      <c r="F25" s="73">
        <v>630</v>
      </c>
      <c r="G25" s="74">
        <v>630</v>
      </c>
      <c r="H25" s="74">
        <v>655</v>
      </c>
    </row>
    <row r="26" spans="1:8" ht="98.25" customHeight="1">
      <c r="A26" s="35" t="s">
        <v>310</v>
      </c>
      <c r="B26" s="184" t="s">
        <v>374</v>
      </c>
      <c r="C26" s="31"/>
      <c r="D26" s="31"/>
      <c r="E26" s="31"/>
      <c r="F26" s="68">
        <v>75</v>
      </c>
      <c r="G26" s="36">
        <v>75</v>
      </c>
      <c r="H26" s="36">
        <v>78</v>
      </c>
    </row>
    <row r="27" spans="1:8" ht="69">
      <c r="A27" s="35" t="s">
        <v>311</v>
      </c>
      <c r="B27" s="187" t="s">
        <v>312</v>
      </c>
      <c r="C27" s="33" t="s">
        <v>238</v>
      </c>
      <c r="D27" s="31" t="s">
        <v>240</v>
      </c>
      <c r="E27" s="33" t="s">
        <v>294</v>
      </c>
      <c r="F27" s="46">
        <v>75</v>
      </c>
      <c r="G27" s="51">
        <v>75</v>
      </c>
      <c r="H27" s="51">
        <v>78</v>
      </c>
    </row>
    <row r="28" spans="1:8" ht="45" customHeight="1">
      <c r="A28" s="54" t="s">
        <v>313</v>
      </c>
      <c r="B28" s="186" t="s">
        <v>376</v>
      </c>
      <c r="C28" s="31"/>
      <c r="D28" s="31"/>
      <c r="E28" s="31"/>
      <c r="F28" s="68">
        <v>377</v>
      </c>
      <c r="G28" s="36">
        <v>377</v>
      </c>
      <c r="H28" s="36">
        <v>392</v>
      </c>
    </row>
    <row r="29" spans="1:8" ht="30" customHeight="1">
      <c r="A29" s="63" t="s">
        <v>250</v>
      </c>
      <c r="B29" s="187" t="s">
        <v>314</v>
      </c>
      <c r="C29" s="32">
        <v>200</v>
      </c>
      <c r="D29" s="33" t="s">
        <v>240</v>
      </c>
      <c r="E29" s="33" t="s">
        <v>294</v>
      </c>
      <c r="F29" s="46">
        <v>377</v>
      </c>
      <c r="G29" s="51">
        <v>377</v>
      </c>
      <c r="H29" s="51">
        <v>392</v>
      </c>
    </row>
    <row r="30" spans="1:8" ht="69">
      <c r="A30" s="54" t="s">
        <v>315</v>
      </c>
      <c r="B30" s="184" t="s">
        <v>377</v>
      </c>
      <c r="C30" s="31"/>
      <c r="D30" s="31"/>
      <c r="E30" s="31"/>
      <c r="F30" s="46">
        <v>129</v>
      </c>
      <c r="G30" s="36">
        <v>129</v>
      </c>
      <c r="H30" s="36">
        <v>134</v>
      </c>
    </row>
    <row r="31" spans="1:8" ht="54.75">
      <c r="A31" s="63" t="s">
        <v>316</v>
      </c>
      <c r="B31" s="187" t="s">
        <v>317</v>
      </c>
      <c r="C31" s="32">
        <v>200</v>
      </c>
      <c r="D31" s="33" t="s">
        <v>240</v>
      </c>
      <c r="E31" s="33" t="s">
        <v>294</v>
      </c>
      <c r="F31" s="46">
        <v>129</v>
      </c>
      <c r="G31" s="51">
        <v>129</v>
      </c>
      <c r="H31" s="51">
        <v>134</v>
      </c>
    </row>
    <row r="32" spans="1:8" ht="105.75" customHeight="1">
      <c r="A32" s="54" t="s">
        <v>318</v>
      </c>
      <c r="B32" s="184" t="s">
        <v>378</v>
      </c>
      <c r="C32" s="31"/>
      <c r="D32" s="30"/>
      <c r="E32" s="31"/>
      <c r="F32" s="46">
        <v>49</v>
      </c>
      <c r="G32" s="36">
        <v>49</v>
      </c>
      <c r="H32" s="36">
        <v>51</v>
      </c>
    </row>
    <row r="33" spans="1:8" ht="82.5">
      <c r="A33" s="63" t="s">
        <v>319</v>
      </c>
      <c r="B33" s="187" t="s">
        <v>320</v>
      </c>
      <c r="C33" s="33" t="s">
        <v>238</v>
      </c>
      <c r="D33" s="33" t="s">
        <v>240</v>
      </c>
      <c r="E33" s="33" t="s">
        <v>294</v>
      </c>
      <c r="F33" s="46">
        <v>49</v>
      </c>
      <c r="G33" s="51">
        <v>49</v>
      </c>
      <c r="H33" s="51">
        <v>51</v>
      </c>
    </row>
    <row r="34" spans="1:8" ht="15" customHeight="1">
      <c r="A34" s="63"/>
      <c r="B34" s="187"/>
      <c r="C34" s="33"/>
      <c r="D34" s="33"/>
      <c r="E34" s="33"/>
      <c r="F34" s="46"/>
      <c r="G34" s="51"/>
      <c r="H34" s="51"/>
    </row>
    <row r="35" spans="1:8" ht="57.75" customHeight="1">
      <c r="A35" s="41" t="s">
        <v>242</v>
      </c>
      <c r="B35" s="183" t="s">
        <v>356</v>
      </c>
      <c r="C35" s="42"/>
      <c r="D35" s="42"/>
      <c r="E35" s="42"/>
      <c r="F35" s="73">
        <v>805552</v>
      </c>
      <c r="G35" s="74">
        <v>532441</v>
      </c>
      <c r="H35" s="74">
        <v>433888</v>
      </c>
    </row>
    <row r="36" spans="1:8" ht="40.5" customHeight="1">
      <c r="A36" s="79" t="s">
        <v>326</v>
      </c>
      <c r="B36" s="183" t="s">
        <v>379</v>
      </c>
      <c r="C36" s="42"/>
      <c r="D36" s="42"/>
      <c r="E36" s="42"/>
      <c r="F36" s="73">
        <v>17766</v>
      </c>
      <c r="G36" s="43">
        <v>16134</v>
      </c>
      <c r="H36" s="43">
        <v>15101</v>
      </c>
    </row>
    <row r="37" spans="1:8" ht="27">
      <c r="A37" s="82" t="s">
        <v>327</v>
      </c>
      <c r="B37" s="184" t="s">
        <v>380</v>
      </c>
      <c r="C37" s="31"/>
      <c r="D37" s="31"/>
      <c r="E37" s="31"/>
      <c r="F37" s="46">
        <v>1500</v>
      </c>
      <c r="G37" s="68">
        <v>1000</v>
      </c>
      <c r="H37" s="68">
        <v>1000</v>
      </c>
    </row>
    <row r="38" spans="1:8" ht="27">
      <c r="A38" s="61" t="s">
        <v>328</v>
      </c>
      <c r="B38" s="188" t="s">
        <v>329</v>
      </c>
      <c r="C38" s="32">
        <v>200</v>
      </c>
      <c r="D38" s="85" t="s">
        <v>325</v>
      </c>
      <c r="E38" s="85" t="s">
        <v>325</v>
      </c>
      <c r="F38" s="46">
        <v>1500</v>
      </c>
      <c r="G38" s="46">
        <v>1000</v>
      </c>
      <c r="H38" s="46">
        <v>1000</v>
      </c>
    </row>
    <row r="39" spans="1:8" ht="54.75">
      <c r="A39" s="86" t="s">
        <v>330</v>
      </c>
      <c r="B39" s="190" t="s">
        <v>381</v>
      </c>
      <c r="C39" s="85"/>
      <c r="D39" s="87"/>
      <c r="E39" s="62"/>
      <c r="F39" s="46">
        <v>16266</v>
      </c>
      <c r="G39" s="46">
        <v>15134</v>
      </c>
      <c r="H39" s="46">
        <v>14101</v>
      </c>
    </row>
    <row r="40" spans="1:8" ht="41.25">
      <c r="A40" s="61" t="s">
        <v>331</v>
      </c>
      <c r="B40" s="188" t="s">
        <v>332</v>
      </c>
      <c r="C40" s="62" t="s">
        <v>238</v>
      </c>
      <c r="D40" s="85" t="s">
        <v>325</v>
      </c>
      <c r="E40" s="85" t="s">
        <v>325</v>
      </c>
      <c r="F40" s="46">
        <v>16266</v>
      </c>
      <c r="G40" s="46">
        <v>15134</v>
      </c>
      <c r="H40" s="46">
        <v>14101</v>
      </c>
    </row>
    <row r="41" spans="1:8" ht="44.25" customHeight="1">
      <c r="A41" s="41" t="s">
        <v>243</v>
      </c>
      <c r="B41" s="191" t="s">
        <v>382</v>
      </c>
      <c r="C41" s="90"/>
      <c r="D41" s="90"/>
      <c r="E41" s="90"/>
      <c r="F41" s="73">
        <v>350</v>
      </c>
      <c r="G41" s="73">
        <v>350</v>
      </c>
      <c r="H41" s="73">
        <v>350</v>
      </c>
    </row>
    <row r="42" spans="1:8" ht="75" customHeight="1">
      <c r="A42" s="93" t="s">
        <v>244</v>
      </c>
      <c r="B42" s="186" t="s">
        <v>383</v>
      </c>
      <c r="C42" s="33"/>
      <c r="D42" s="30"/>
      <c r="E42" s="33"/>
      <c r="F42" s="55">
        <v>350</v>
      </c>
      <c r="G42" s="56">
        <v>350</v>
      </c>
      <c r="H42" s="56">
        <v>350</v>
      </c>
    </row>
    <row r="43" spans="1:8" ht="60" customHeight="1">
      <c r="A43" s="94" t="s">
        <v>245</v>
      </c>
      <c r="B43" s="187" t="s">
        <v>246</v>
      </c>
      <c r="C43" s="33" t="s">
        <v>238</v>
      </c>
      <c r="D43" s="33" t="s">
        <v>325</v>
      </c>
      <c r="E43" s="33" t="s">
        <v>219</v>
      </c>
      <c r="F43" s="55">
        <v>350</v>
      </c>
      <c r="G43" s="55">
        <v>350</v>
      </c>
      <c r="H43" s="55">
        <v>350</v>
      </c>
    </row>
    <row r="44" spans="1:8" ht="30" customHeight="1">
      <c r="A44" s="41" t="s">
        <v>269</v>
      </c>
      <c r="B44" s="194" t="s">
        <v>384</v>
      </c>
      <c r="C44" s="42"/>
      <c r="D44" s="42"/>
      <c r="E44" s="42"/>
      <c r="F44" s="73">
        <v>735248</v>
      </c>
      <c r="G44" s="95">
        <v>462206</v>
      </c>
      <c r="H44" s="95">
        <v>363216</v>
      </c>
    </row>
    <row r="45" spans="1:8" ht="45" customHeight="1">
      <c r="A45" s="35" t="s">
        <v>335</v>
      </c>
      <c r="B45" s="186" t="s">
        <v>385</v>
      </c>
      <c r="C45" s="33"/>
      <c r="D45" s="30"/>
      <c r="E45" s="33"/>
      <c r="F45" s="55">
        <v>141014</v>
      </c>
      <c r="G45" s="56">
        <v>146677</v>
      </c>
      <c r="H45" s="56">
        <v>150577</v>
      </c>
    </row>
    <row r="46" spans="1:8" ht="30" customHeight="1">
      <c r="A46" s="100" t="s">
        <v>336</v>
      </c>
      <c r="B46" s="187" t="s">
        <v>337</v>
      </c>
      <c r="C46" s="33" t="s">
        <v>274</v>
      </c>
      <c r="D46" s="33" t="s">
        <v>325</v>
      </c>
      <c r="E46" s="33" t="s">
        <v>219</v>
      </c>
      <c r="F46" s="46">
        <v>141014</v>
      </c>
      <c r="G46" s="51">
        <v>146677</v>
      </c>
      <c r="H46" s="51">
        <v>150577</v>
      </c>
    </row>
    <row r="47" spans="1:8" ht="54.75">
      <c r="A47" s="63" t="s">
        <v>338</v>
      </c>
      <c r="B47" s="186" t="s">
        <v>386</v>
      </c>
      <c r="C47" s="33"/>
      <c r="D47" s="30"/>
      <c r="E47" s="33"/>
      <c r="F47" s="55">
        <v>167246</v>
      </c>
      <c r="G47" s="56">
        <v>175498</v>
      </c>
      <c r="H47" s="56">
        <v>181207</v>
      </c>
    </row>
    <row r="48" spans="1:8" ht="41.25">
      <c r="A48" s="100" t="s">
        <v>339</v>
      </c>
      <c r="B48" s="187" t="s">
        <v>340</v>
      </c>
      <c r="C48" s="33" t="s">
        <v>274</v>
      </c>
      <c r="D48" s="33" t="s">
        <v>325</v>
      </c>
      <c r="E48" s="33" t="s">
        <v>219</v>
      </c>
      <c r="F48" s="46">
        <v>167246</v>
      </c>
      <c r="G48" s="51">
        <v>175498</v>
      </c>
      <c r="H48" s="51">
        <v>181207</v>
      </c>
    </row>
    <row r="49" spans="1:8" ht="27">
      <c r="A49" s="35" t="s">
        <v>361</v>
      </c>
      <c r="B49" s="186" t="s">
        <v>387</v>
      </c>
      <c r="C49" s="33"/>
      <c r="D49" s="30"/>
      <c r="E49" s="33"/>
      <c r="F49" s="55">
        <v>6730</v>
      </c>
      <c r="G49" s="56">
        <v>6730</v>
      </c>
      <c r="H49" s="56">
        <v>6730</v>
      </c>
    </row>
    <row r="50" spans="1:8" s="11" customFormat="1" ht="13.5">
      <c r="A50" s="100" t="s">
        <v>362</v>
      </c>
      <c r="B50" s="187" t="s">
        <v>363</v>
      </c>
      <c r="C50" s="33" t="s">
        <v>274</v>
      </c>
      <c r="D50" s="33" t="s">
        <v>251</v>
      </c>
      <c r="E50" s="33" t="s">
        <v>218</v>
      </c>
      <c r="F50" s="46">
        <v>6730</v>
      </c>
      <c r="G50" s="51">
        <v>6730</v>
      </c>
      <c r="H50" s="51">
        <v>6730</v>
      </c>
    </row>
    <row r="51" spans="1:8" ht="42" customHeight="1">
      <c r="A51" s="63" t="s">
        <v>341</v>
      </c>
      <c r="B51" s="186" t="s">
        <v>388</v>
      </c>
      <c r="C51" s="33"/>
      <c r="D51" s="30"/>
      <c r="E51" s="33"/>
      <c r="F51" s="55">
        <v>16247</v>
      </c>
      <c r="G51" s="56">
        <v>17385</v>
      </c>
      <c r="H51" s="56">
        <v>17786</v>
      </c>
    </row>
    <row r="52" spans="1:8" ht="45" customHeight="1">
      <c r="A52" s="63" t="s">
        <v>284</v>
      </c>
      <c r="B52" s="187" t="s">
        <v>345</v>
      </c>
      <c r="C52" s="33" t="s">
        <v>274</v>
      </c>
      <c r="D52" s="33" t="s">
        <v>325</v>
      </c>
      <c r="E52" s="33" t="s">
        <v>219</v>
      </c>
      <c r="F52" s="46">
        <v>16247</v>
      </c>
      <c r="G52" s="51">
        <v>17385</v>
      </c>
      <c r="H52" s="51">
        <v>17786</v>
      </c>
    </row>
    <row r="53" spans="1:8" ht="60" customHeight="1">
      <c r="A53" s="63" t="s">
        <v>346</v>
      </c>
      <c r="B53" s="186" t="s">
        <v>389</v>
      </c>
      <c r="C53" s="33"/>
      <c r="D53" s="30"/>
      <c r="E53" s="33"/>
      <c r="F53" s="55">
        <v>3071</v>
      </c>
      <c r="G53" s="56">
        <v>55</v>
      </c>
      <c r="H53" s="56">
        <v>55</v>
      </c>
    </row>
    <row r="54" spans="1:8" ht="45" customHeight="1">
      <c r="A54" s="93" t="s">
        <v>347</v>
      </c>
      <c r="B54" s="187" t="s">
        <v>348</v>
      </c>
      <c r="C54" s="33" t="s">
        <v>238</v>
      </c>
      <c r="D54" s="33" t="s">
        <v>325</v>
      </c>
      <c r="E54" s="33" t="s">
        <v>219</v>
      </c>
      <c r="F54" s="55">
        <v>1296</v>
      </c>
      <c r="G54" s="56">
        <v>55</v>
      </c>
      <c r="H54" s="56">
        <v>55</v>
      </c>
    </row>
    <row r="55" spans="1:8" ht="45" customHeight="1">
      <c r="A55" s="93" t="s">
        <v>347</v>
      </c>
      <c r="B55" s="187" t="s">
        <v>348</v>
      </c>
      <c r="C55" s="33" t="s">
        <v>279</v>
      </c>
      <c r="D55" s="33" t="s">
        <v>325</v>
      </c>
      <c r="E55" s="33" t="s">
        <v>219</v>
      </c>
      <c r="F55" s="55">
        <v>1775</v>
      </c>
      <c r="G55" s="56">
        <v>0</v>
      </c>
      <c r="H55" s="56">
        <v>0</v>
      </c>
    </row>
    <row r="56" spans="1:8" ht="105" customHeight="1">
      <c r="A56" s="54" t="s">
        <v>349</v>
      </c>
      <c r="B56" s="186" t="s">
        <v>390</v>
      </c>
      <c r="C56" s="33"/>
      <c r="D56" s="30"/>
      <c r="E56" s="33"/>
      <c r="F56" s="55">
        <v>361</v>
      </c>
      <c r="G56" s="56">
        <v>361</v>
      </c>
      <c r="H56" s="56">
        <v>361</v>
      </c>
    </row>
    <row r="57" spans="1:8" ht="105" customHeight="1">
      <c r="A57" s="93" t="s">
        <v>350</v>
      </c>
      <c r="B57" s="187" t="s">
        <v>351</v>
      </c>
      <c r="C57" s="33" t="s">
        <v>238</v>
      </c>
      <c r="D57" s="33" t="s">
        <v>325</v>
      </c>
      <c r="E57" s="33" t="s">
        <v>219</v>
      </c>
      <c r="F57" s="46">
        <v>361</v>
      </c>
      <c r="G57" s="51">
        <v>361</v>
      </c>
      <c r="H57" s="51">
        <v>361</v>
      </c>
    </row>
    <row r="58" spans="1:8" ht="45" customHeight="1">
      <c r="A58" s="35" t="s">
        <v>352</v>
      </c>
      <c r="B58" s="187" t="s">
        <v>391</v>
      </c>
      <c r="C58" s="33"/>
      <c r="D58" s="30"/>
      <c r="E58" s="33"/>
      <c r="F58" s="55">
        <v>500</v>
      </c>
      <c r="G58" s="55">
        <v>500</v>
      </c>
      <c r="H58" s="55">
        <v>500</v>
      </c>
    </row>
    <row r="59" spans="1:8" ht="30" customHeight="1">
      <c r="A59" s="94" t="s">
        <v>353</v>
      </c>
      <c r="B59" s="187" t="s">
        <v>354</v>
      </c>
      <c r="C59" s="33" t="s">
        <v>238</v>
      </c>
      <c r="D59" s="33" t="s">
        <v>325</v>
      </c>
      <c r="E59" s="33" t="s">
        <v>219</v>
      </c>
      <c r="F59" s="55">
        <v>500</v>
      </c>
      <c r="G59" s="55">
        <v>500</v>
      </c>
      <c r="H59" s="55">
        <v>500</v>
      </c>
    </row>
    <row r="60" spans="1:8" ht="90" customHeight="1">
      <c r="A60" s="54" t="s">
        <v>208</v>
      </c>
      <c r="B60" s="186" t="s">
        <v>393</v>
      </c>
      <c r="C60" s="33"/>
      <c r="D60" s="30"/>
      <c r="E60" s="33"/>
      <c r="F60" s="55">
        <v>400079</v>
      </c>
      <c r="G60" s="56">
        <v>115000</v>
      </c>
      <c r="H60" s="56">
        <v>6000</v>
      </c>
    </row>
    <row r="61" spans="1:8" ht="30" customHeight="1">
      <c r="A61" s="54" t="s">
        <v>275</v>
      </c>
      <c r="B61" s="187" t="s">
        <v>192</v>
      </c>
      <c r="C61" s="33" t="s">
        <v>238</v>
      </c>
      <c r="D61" s="33" t="s">
        <v>240</v>
      </c>
      <c r="E61" s="33" t="s">
        <v>248</v>
      </c>
      <c r="F61" s="167">
        <v>400079</v>
      </c>
      <c r="G61" s="168">
        <v>115000</v>
      </c>
      <c r="H61" s="168">
        <v>6000</v>
      </c>
    </row>
    <row r="62" spans="1:8" ht="45" customHeight="1">
      <c r="A62" s="106" t="s">
        <v>323</v>
      </c>
      <c r="B62" s="183" t="s">
        <v>394</v>
      </c>
      <c r="C62" s="42"/>
      <c r="D62" s="42"/>
      <c r="E62" s="42"/>
      <c r="F62" s="73">
        <v>52188</v>
      </c>
      <c r="G62" s="95">
        <v>53751</v>
      </c>
      <c r="H62" s="95">
        <v>55221</v>
      </c>
    </row>
    <row r="63" spans="1:8" ht="69.75" customHeight="1">
      <c r="A63" s="107" t="s">
        <v>249</v>
      </c>
      <c r="B63" s="186" t="s">
        <v>395</v>
      </c>
      <c r="C63" s="33"/>
      <c r="D63" s="30"/>
      <c r="E63" s="33"/>
      <c r="F63" s="55">
        <v>52188</v>
      </c>
      <c r="G63" s="56">
        <v>53751</v>
      </c>
      <c r="H63" s="56">
        <v>55221</v>
      </c>
    </row>
    <row r="64" spans="1:8" ht="60" customHeight="1">
      <c r="A64" s="108" t="s">
        <v>247</v>
      </c>
      <c r="B64" s="187" t="s">
        <v>333</v>
      </c>
      <c r="C64" s="32">
        <v>100</v>
      </c>
      <c r="D64" s="33" t="s">
        <v>325</v>
      </c>
      <c r="E64" s="33" t="s">
        <v>219</v>
      </c>
      <c r="F64" s="46">
        <v>17511</v>
      </c>
      <c r="G64" s="46">
        <v>18193</v>
      </c>
      <c r="H64" s="46">
        <v>18761</v>
      </c>
    </row>
    <row r="65" spans="1:8" ht="60" customHeight="1">
      <c r="A65" s="108" t="s">
        <v>247</v>
      </c>
      <c r="B65" s="187" t="s">
        <v>333</v>
      </c>
      <c r="C65" s="32">
        <v>200</v>
      </c>
      <c r="D65" s="33" t="s">
        <v>325</v>
      </c>
      <c r="E65" s="33" t="s">
        <v>219</v>
      </c>
      <c r="F65" s="167">
        <v>5317</v>
      </c>
      <c r="G65" s="168">
        <v>5245</v>
      </c>
      <c r="H65" s="168">
        <v>5295</v>
      </c>
    </row>
    <row r="66" spans="1:8" ht="60" customHeight="1">
      <c r="A66" s="108" t="s">
        <v>247</v>
      </c>
      <c r="B66" s="187" t="s">
        <v>333</v>
      </c>
      <c r="C66" s="32">
        <v>600</v>
      </c>
      <c r="D66" s="33" t="s">
        <v>325</v>
      </c>
      <c r="E66" s="33" t="s">
        <v>219</v>
      </c>
      <c r="F66" s="167">
        <v>305</v>
      </c>
      <c r="G66" s="168">
        <v>0</v>
      </c>
      <c r="H66" s="168">
        <v>0</v>
      </c>
    </row>
    <row r="67" spans="1:8" ht="60" customHeight="1">
      <c r="A67" s="108" t="s">
        <v>247</v>
      </c>
      <c r="B67" s="187" t="s">
        <v>333</v>
      </c>
      <c r="C67" s="32">
        <v>800</v>
      </c>
      <c r="D67" s="33" t="s">
        <v>325</v>
      </c>
      <c r="E67" s="33" t="s">
        <v>219</v>
      </c>
      <c r="F67" s="167">
        <v>118</v>
      </c>
      <c r="G67" s="168">
        <v>118</v>
      </c>
      <c r="H67" s="168">
        <v>118</v>
      </c>
    </row>
    <row r="68" spans="1:8" ht="60" customHeight="1">
      <c r="A68" s="108" t="s">
        <v>247</v>
      </c>
      <c r="B68" s="187" t="s">
        <v>333</v>
      </c>
      <c r="C68" s="32">
        <v>100</v>
      </c>
      <c r="D68" s="33" t="s">
        <v>325</v>
      </c>
      <c r="E68" s="33" t="s">
        <v>325</v>
      </c>
      <c r="F68" s="167">
        <v>22822</v>
      </c>
      <c r="G68" s="168">
        <v>23812</v>
      </c>
      <c r="H68" s="168">
        <v>24653</v>
      </c>
    </row>
    <row r="69" spans="1:8" ht="60" customHeight="1">
      <c r="A69" s="108" t="s">
        <v>247</v>
      </c>
      <c r="B69" s="187" t="s">
        <v>333</v>
      </c>
      <c r="C69" s="32">
        <v>200</v>
      </c>
      <c r="D69" s="33" t="s">
        <v>325</v>
      </c>
      <c r="E69" s="33" t="s">
        <v>325</v>
      </c>
      <c r="F69" s="46">
        <v>6030</v>
      </c>
      <c r="G69" s="46">
        <v>6288</v>
      </c>
      <c r="H69" s="46">
        <v>6299</v>
      </c>
    </row>
    <row r="70" spans="1:8" ht="15" customHeight="1">
      <c r="A70" s="267" t="s">
        <v>738</v>
      </c>
      <c r="B70" s="176" t="s">
        <v>333</v>
      </c>
      <c r="C70" s="166" t="s">
        <v>239</v>
      </c>
      <c r="D70" s="33" t="s">
        <v>325</v>
      </c>
      <c r="E70" s="33" t="s">
        <v>325</v>
      </c>
      <c r="F70" s="68">
        <v>85</v>
      </c>
      <c r="G70" s="167">
        <v>95</v>
      </c>
      <c r="H70" s="69">
        <v>95</v>
      </c>
    </row>
    <row r="71" spans="1:8" ht="15" customHeight="1">
      <c r="A71" s="108"/>
      <c r="B71" s="187"/>
      <c r="C71" s="31"/>
      <c r="D71" s="31"/>
      <c r="E71" s="33"/>
      <c r="F71" s="46"/>
      <c r="G71" s="46"/>
      <c r="H71" s="46"/>
    </row>
    <row r="72" spans="1:8" ht="75" customHeight="1">
      <c r="A72" s="106" t="s">
        <v>252</v>
      </c>
      <c r="B72" s="194" t="s">
        <v>219</v>
      </c>
      <c r="C72" s="42"/>
      <c r="D72" s="34"/>
      <c r="E72" s="42"/>
      <c r="F72" s="43">
        <v>568168</v>
      </c>
      <c r="G72" s="43">
        <v>557493</v>
      </c>
      <c r="H72" s="43">
        <v>569056</v>
      </c>
    </row>
    <row r="73" spans="1:8" ht="75" customHeight="1">
      <c r="A73" s="111" t="s">
        <v>270</v>
      </c>
      <c r="B73" s="194" t="s">
        <v>396</v>
      </c>
      <c r="C73" s="42"/>
      <c r="D73" s="34"/>
      <c r="E73" s="42"/>
      <c r="F73" s="43">
        <v>448720</v>
      </c>
      <c r="G73" s="74">
        <v>454572</v>
      </c>
      <c r="H73" s="74">
        <v>464522</v>
      </c>
    </row>
    <row r="74" spans="1:8" ht="69">
      <c r="A74" s="63" t="s">
        <v>271</v>
      </c>
      <c r="B74" s="186" t="s">
        <v>397</v>
      </c>
      <c r="C74" s="33"/>
      <c r="D74" s="30"/>
      <c r="E74" s="33"/>
      <c r="F74" s="55">
        <v>25222</v>
      </c>
      <c r="G74" s="56">
        <v>25547</v>
      </c>
      <c r="H74" s="56">
        <v>25830</v>
      </c>
    </row>
    <row r="75" spans="1:8" ht="27">
      <c r="A75" s="63" t="s">
        <v>272</v>
      </c>
      <c r="B75" s="187" t="s">
        <v>273</v>
      </c>
      <c r="C75" s="33" t="s">
        <v>274</v>
      </c>
      <c r="D75" s="33" t="s">
        <v>240</v>
      </c>
      <c r="E75" s="33" t="s">
        <v>248</v>
      </c>
      <c r="F75" s="46">
        <v>25222</v>
      </c>
      <c r="G75" s="51">
        <v>25547</v>
      </c>
      <c r="H75" s="51">
        <v>25830</v>
      </c>
    </row>
    <row r="76" spans="1:8" ht="45" customHeight="1">
      <c r="A76" s="63" t="s">
        <v>280</v>
      </c>
      <c r="B76" s="186" t="s">
        <v>398</v>
      </c>
      <c r="C76" s="33"/>
      <c r="D76" s="30"/>
      <c r="E76" s="33"/>
      <c r="F76" s="55">
        <v>398295</v>
      </c>
      <c r="G76" s="56">
        <v>403047</v>
      </c>
      <c r="H76" s="56">
        <v>411945</v>
      </c>
    </row>
    <row r="77" spans="1:8" ht="30" customHeight="1">
      <c r="A77" s="63" t="s">
        <v>281</v>
      </c>
      <c r="B77" s="187" t="s">
        <v>282</v>
      </c>
      <c r="C77" s="33" t="s">
        <v>274</v>
      </c>
      <c r="D77" s="33" t="s">
        <v>240</v>
      </c>
      <c r="E77" s="33" t="s">
        <v>248</v>
      </c>
      <c r="F77" s="46">
        <v>398295</v>
      </c>
      <c r="G77" s="51">
        <v>403047</v>
      </c>
      <c r="H77" s="51">
        <v>411945</v>
      </c>
    </row>
    <row r="78" spans="1:8" ht="60" customHeight="1">
      <c r="A78" s="54" t="s">
        <v>283</v>
      </c>
      <c r="B78" s="186" t="s">
        <v>223</v>
      </c>
      <c r="C78" s="33"/>
      <c r="D78" s="30"/>
      <c r="E78" s="31"/>
      <c r="F78" s="46">
        <v>25203</v>
      </c>
      <c r="G78" s="64">
        <v>25978</v>
      </c>
      <c r="H78" s="64">
        <v>26747</v>
      </c>
    </row>
    <row r="79" spans="1:8" ht="45" customHeight="1">
      <c r="A79" s="63" t="s">
        <v>284</v>
      </c>
      <c r="B79" s="187" t="s">
        <v>285</v>
      </c>
      <c r="C79" s="33" t="s">
        <v>274</v>
      </c>
      <c r="D79" s="33" t="s">
        <v>240</v>
      </c>
      <c r="E79" s="33" t="s">
        <v>248</v>
      </c>
      <c r="F79" s="46">
        <v>25203</v>
      </c>
      <c r="G79" s="51">
        <v>25978</v>
      </c>
      <c r="H79" s="51">
        <v>26747</v>
      </c>
    </row>
    <row r="80" spans="1:8" ht="45" customHeight="1">
      <c r="A80" s="114" t="s">
        <v>286</v>
      </c>
      <c r="B80" s="194" t="s">
        <v>224</v>
      </c>
      <c r="C80" s="42"/>
      <c r="D80" s="34"/>
      <c r="E80" s="42"/>
      <c r="F80" s="43">
        <v>29908</v>
      </c>
      <c r="G80" s="74">
        <v>27076</v>
      </c>
      <c r="H80" s="74">
        <v>27542</v>
      </c>
    </row>
    <row r="81" spans="1:8" ht="60" customHeight="1">
      <c r="A81" s="100" t="s">
        <v>287</v>
      </c>
      <c r="B81" s="186" t="s">
        <v>225</v>
      </c>
      <c r="C81" s="33"/>
      <c r="D81" s="30"/>
      <c r="E81" s="31"/>
      <c r="F81" s="46">
        <v>29456</v>
      </c>
      <c r="G81" s="64">
        <v>26624</v>
      </c>
      <c r="H81" s="64">
        <v>27090</v>
      </c>
    </row>
    <row r="82" spans="1:8" ht="45" customHeight="1">
      <c r="A82" s="100" t="s">
        <v>288</v>
      </c>
      <c r="B82" s="187" t="s">
        <v>289</v>
      </c>
      <c r="C82" s="33" t="s">
        <v>274</v>
      </c>
      <c r="D82" s="33" t="s">
        <v>240</v>
      </c>
      <c r="E82" s="33" t="s">
        <v>248</v>
      </c>
      <c r="F82" s="46">
        <v>29456</v>
      </c>
      <c r="G82" s="51">
        <v>26624</v>
      </c>
      <c r="H82" s="51">
        <v>27090</v>
      </c>
    </row>
    <row r="83" spans="1:8" ht="60" customHeight="1">
      <c r="A83" s="63" t="s">
        <v>290</v>
      </c>
      <c r="B83" s="186" t="s">
        <v>226</v>
      </c>
      <c r="C83" s="33"/>
      <c r="D83" s="30"/>
      <c r="E83" s="33"/>
      <c r="F83" s="46">
        <v>452</v>
      </c>
      <c r="G83" s="69">
        <v>452</v>
      </c>
      <c r="H83" s="69">
        <v>452</v>
      </c>
    </row>
    <row r="84" spans="1:8" ht="45" customHeight="1">
      <c r="A84" s="100" t="s">
        <v>291</v>
      </c>
      <c r="B84" s="187" t="s">
        <v>292</v>
      </c>
      <c r="C84" s="33" t="s">
        <v>274</v>
      </c>
      <c r="D84" s="33" t="s">
        <v>240</v>
      </c>
      <c r="E84" s="33" t="s">
        <v>248</v>
      </c>
      <c r="F84" s="46">
        <v>452</v>
      </c>
      <c r="G84" s="51">
        <v>452</v>
      </c>
      <c r="H84" s="51">
        <v>452</v>
      </c>
    </row>
    <row r="85" spans="1:8" ht="60" customHeight="1">
      <c r="A85" s="41" t="s">
        <v>253</v>
      </c>
      <c r="B85" s="194" t="s">
        <v>229</v>
      </c>
      <c r="C85" s="42"/>
      <c r="D85" s="34"/>
      <c r="E85" s="42"/>
      <c r="F85" s="73">
        <v>89540</v>
      </c>
      <c r="G85" s="74">
        <v>75845</v>
      </c>
      <c r="H85" s="74">
        <v>76992</v>
      </c>
    </row>
    <row r="86" spans="1:8" ht="75" customHeight="1">
      <c r="A86" s="93" t="s">
        <v>254</v>
      </c>
      <c r="B86" s="186" t="s">
        <v>230</v>
      </c>
      <c r="C86" s="33"/>
      <c r="D86" s="30"/>
      <c r="E86" s="31"/>
      <c r="F86" s="46">
        <v>10974</v>
      </c>
      <c r="G86" s="64">
        <v>10974</v>
      </c>
      <c r="H86" s="64">
        <v>10974</v>
      </c>
    </row>
    <row r="87" spans="1:8" ht="75" customHeight="1">
      <c r="A87" s="108" t="s">
        <v>255</v>
      </c>
      <c r="B87" s="187" t="s">
        <v>256</v>
      </c>
      <c r="C87" s="33" t="s">
        <v>239</v>
      </c>
      <c r="D87" s="33" t="s">
        <v>240</v>
      </c>
      <c r="E87" s="33" t="s">
        <v>251</v>
      </c>
      <c r="F87" s="46">
        <v>10974</v>
      </c>
      <c r="G87" s="46">
        <v>10974</v>
      </c>
      <c r="H87" s="46">
        <v>10974</v>
      </c>
    </row>
    <row r="88" spans="1:8" ht="75" customHeight="1">
      <c r="A88" s="82" t="s">
        <v>324</v>
      </c>
      <c r="B88" s="190" t="s">
        <v>232</v>
      </c>
      <c r="C88" s="62"/>
      <c r="D88" s="30"/>
      <c r="E88" s="31"/>
      <c r="F88" s="46">
        <v>56481</v>
      </c>
      <c r="G88" s="69">
        <v>64871</v>
      </c>
      <c r="H88" s="69">
        <v>66018</v>
      </c>
    </row>
    <row r="89" spans="1:8" ht="60" customHeight="1">
      <c r="A89" s="82" t="s">
        <v>334</v>
      </c>
      <c r="B89" s="188" t="s">
        <v>293</v>
      </c>
      <c r="C89" s="62" t="s">
        <v>237</v>
      </c>
      <c r="D89" s="33" t="s">
        <v>240</v>
      </c>
      <c r="E89" s="33" t="s">
        <v>251</v>
      </c>
      <c r="F89" s="46">
        <v>12956</v>
      </c>
      <c r="G89" s="46">
        <v>21293</v>
      </c>
      <c r="H89" s="46">
        <v>22064</v>
      </c>
    </row>
    <row r="90" spans="1:8" ht="60" customHeight="1">
      <c r="A90" s="82" t="s">
        <v>334</v>
      </c>
      <c r="B90" s="188" t="s">
        <v>293</v>
      </c>
      <c r="C90" s="62" t="s">
        <v>238</v>
      </c>
      <c r="D90" s="33" t="s">
        <v>240</v>
      </c>
      <c r="E90" s="33" t="s">
        <v>251</v>
      </c>
      <c r="F90" s="46">
        <v>174</v>
      </c>
      <c r="G90" s="46">
        <v>99</v>
      </c>
      <c r="H90" s="46">
        <v>99</v>
      </c>
    </row>
    <row r="91" spans="1:8" ht="60" customHeight="1">
      <c r="A91" s="82" t="s">
        <v>334</v>
      </c>
      <c r="B91" s="188" t="s">
        <v>293</v>
      </c>
      <c r="C91" s="62" t="s">
        <v>237</v>
      </c>
      <c r="D91" s="33" t="s">
        <v>240</v>
      </c>
      <c r="E91" s="33" t="s">
        <v>248</v>
      </c>
      <c r="F91" s="46">
        <v>9515</v>
      </c>
      <c r="G91" s="46">
        <v>9929</v>
      </c>
      <c r="H91" s="46">
        <v>10288</v>
      </c>
    </row>
    <row r="92" spans="1:8" ht="60" customHeight="1">
      <c r="A92" s="82" t="s">
        <v>334</v>
      </c>
      <c r="B92" s="187" t="s">
        <v>293</v>
      </c>
      <c r="C92" s="33">
        <v>200</v>
      </c>
      <c r="D92" s="33" t="s">
        <v>240</v>
      </c>
      <c r="E92" s="33" t="s">
        <v>248</v>
      </c>
      <c r="F92" s="46">
        <v>29821</v>
      </c>
      <c r="G92" s="46">
        <v>29535</v>
      </c>
      <c r="H92" s="46">
        <v>29552</v>
      </c>
    </row>
    <row r="93" spans="1:8" ht="60" customHeight="1">
      <c r="A93" s="82" t="s">
        <v>334</v>
      </c>
      <c r="B93" s="187" t="s">
        <v>293</v>
      </c>
      <c r="C93" s="33">
        <v>800</v>
      </c>
      <c r="D93" s="33" t="s">
        <v>240</v>
      </c>
      <c r="E93" s="33" t="s">
        <v>248</v>
      </c>
      <c r="F93" s="46">
        <v>4015</v>
      </c>
      <c r="G93" s="46">
        <v>4015</v>
      </c>
      <c r="H93" s="46">
        <v>4015</v>
      </c>
    </row>
    <row r="94" spans="1:8" ht="124.5" customHeight="1">
      <c r="A94" s="115" t="s">
        <v>431</v>
      </c>
      <c r="B94" s="231" t="s">
        <v>430</v>
      </c>
      <c r="C94" s="12"/>
      <c r="D94" s="12"/>
      <c r="E94" s="12"/>
      <c r="F94" s="116">
        <v>22085</v>
      </c>
      <c r="G94" s="116">
        <v>0</v>
      </c>
      <c r="H94" s="116">
        <v>0</v>
      </c>
    </row>
    <row r="95" spans="1:8" ht="105" customHeight="1">
      <c r="A95" s="267" t="s">
        <v>428</v>
      </c>
      <c r="B95" s="176" t="s">
        <v>429</v>
      </c>
      <c r="C95" s="166" t="s">
        <v>239</v>
      </c>
      <c r="D95" s="166" t="s">
        <v>240</v>
      </c>
      <c r="E95" s="166" t="s">
        <v>251</v>
      </c>
      <c r="F95" s="167">
        <v>22085</v>
      </c>
      <c r="G95" s="167">
        <v>0</v>
      </c>
      <c r="H95" s="167">
        <v>0</v>
      </c>
    </row>
    <row r="96" spans="1:8" ht="15" customHeight="1">
      <c r="A96" s="93"/>
      <c r="B96" s="187"/>
      <c r="C96" s="33"/>
      <c r="D96" s="33"/>
      <c r="E96" s="33"/>
      <c r="F96" s="55"/>
      <c r="G96" s="55"/>
      <c r="H96" s="55"/>
    </row>
    <row r="97" spans="1:8" ht="69">
      <c r="A97" s="41" t="s">
        <v>321</v>
      </c>
      <c r="B97" s="194" t="s">
        <v>240</v>
      </c>
      <c r="C97" s="42"/>
      <c r="D97" s="34"/>
      <c r="E97" s="42"/>
      <c r="F97" s="43">
        <v>115606</v>
      </c>
      <c r="G97" s="43">
        <v>117312</v>
      </c>
      <c r="H97" s="43">
        <v>118864</v>
      </c>
    </row>
    <row r="98" spans="1:8" ht="45" customHeight="1">
      <c r="A98" s="41" t="s">
        <v>322</v>
      </c>
      <c r="B98" s="194" t="s">
        <v>234</v>
      </c>
      <c r="C98" s="42"/>
      <c r="D98" s="34"/>
      <c r="E98" s="42"/>
      <c r="F98" s="43">
        <v>61473</v>
      </c>
      <c r="G98" s="43">
        <v>59149</v>
      </c>
      <c r="H98" s="43">
        <v>59149</v>
      </c>
    </row>
    <row r="99" spans="1:8" ht="56.25" customHeight="1">
      <c r="A99" s="35" t="s">
        <v>400</v>
      </c>
      <c r="B99" s="196" t="s">
        <v>401</v>
      </c>
      <c r="C99" s="33"/>
      <c r="D99" s="30"/>
      <c r="E99" s="31"/>
      <c r="F99" s="55">
        <v>4563</v>
      </c>
      <c r="G99" s="36">
        <v>4563</v>
      </c>
      <c r="H99" s="36">
        <v>4563</v>
      </c>
    </row>
    <row r="100" spans="1:8" ht="90" customHeight="1">
      <c r="A100" s="232" t="s">
        <v>111</v>
      </c>
      <c r="B100" s="251" t="s">
        <v>664</v>
      </c>
      <c r="C100" s="12" t="s">
        <v>355</v>
      </c>
      <c r="D100" s="12" t="s">
        <v>399</v>
      </c>
      <c r="E100" s="12" t="s">
        <v>219</v>
      </c>
      <c r="F100" s="167">
        <v>4563</v>
      </c>
      <c r="G100" s="168">
        <v>4563</v>
      </c>
      <c r="H100" s="168">
        <v>4563</v>
      </c>
    </row>
    <row r="101" spans="1:8" ht="114.75" customHeight="1">
      <c r="A101" s="35" t="s">
        <v>406</v>
      </c>
      <c r="B101" s="186" t="s">
        <v>407</v>
      </c>
      <c r="C101" s="33"/>
      <c r="D101" s="30"/>
      <c r="E101" s="31"/>
      <c r="F101" s="55">
        <v>55776</v>
      </c>
      <c r="G101" s="36">
        <v>53452</v>
      </c>
      <c r="H101" s="36">
        <v>53452</v>
      </c>
    </row>
    <row r="102" spans="1:8" ht="120" customHeight="1">
      <c r="A102" s="61" t="s">
        <v>411</v>
      </c>
      <c r="B102" s="190" t="s">
        <v>408</v>
      </c>
      <c r="C102" s="62" t="s">
        <v>279</v>
      </c>
      <c r="D102" s="62" t="s">
        <v>399</v>
      </c>
      <c r="E102" s="62" t="s">
        <v>240</v>
      </c>
      <c r="F102" s="46">
        <v>22864</v>
      </c>
      <c r="G102" s="51">
        <v>19224</v>
      </c>
      <c r="H102" s="51">
        <v>19224</v>
      </c>
    </row>
    <row r="103" spans="1:8" ht="114.75" customHeight="1">
      <c r="A103" s="67" t="s">
        <v>412</v>
      </c>
      <c r="B103" s="187" t="s">
        <v>409</v>
      </c>
      <c r="C103" s="33" t="s">
        <v>279</v>
      </c>
      <c r="D103" s="62" t="s">
        <v>399</v>
      </c>
      <c r="E103" s="62" t="s">
        <v>240</v>
      </c>
      <c r="F103" s="46">
        <v>32912</v>
      </c>
      <c r="G103" s="51">
        <v>34228</v>
      </c>
      <c r="H103" s="51">
        <v>34228</v>
      </c>
    </row>
    <row r="104" spans="1:8" ht="59.25" customHeight="1">
      <c r="A104" s="35" t="s">
        <v>413</v>
      </c>
      <c r="B104" s="186" t="s">
        <v>414</v>
      </c>
      <c r="C104" s="33"/>
      <c r="D104" s="30"/>
      <c r="E104" s="31"/>
      <c r="F104" s="55">
        <v>1134</v>
      </c>
      <c r="G104" s="36">
        <v>1134</v>
      </c>
      <c r="H104" s="36">
        <v>1134</v>
      </c>
    </row>
    <row r="105" spans="1:8" ht="41.25">
      <c r="A105" s="107" t="s">
        <v>416</v>
      </c>
      <c r="B105" s="187" t="s">
        <v>415</v>
      </c>
      <c r="C105" s="33" t="s">
        <v>238</v>
      </c>
      <c r="D105" s="33" t="s">
        <v>240</v>
      </c>
      <c r="E105" s="33" t="s">
        <v>294</v>
      </c>
      <c r="F105" s="46">
        <v>1134</v>
      </c>
      <c r="G105" s="46">
        <v>1134</v>
      </c>
      <c r="H105" s="46">
        <v>1134</v>
      </c>
    </row>
    <row r="106" spans="1:8" ht="45" customHeight="1">
      <c r="A106" s="106" t="s">
        <v>323</v>
      </c>
      <c r="B106" s="194" t="s">
        <v>421</v>
      </c>
      <c r="C106" s="42"/>
      <c r="D106" s="34"/>
      <c r="E106" s="42"/>
      <c r="F106" s="43">
        <v>54133</v>
      </c>
      <c r="G106" s="43">
        <v>58163</v>
      </c>
      <c r="H106" s="43">
        <v>59715</v>
      </c>
    </row>
    <row r="107" spans="1:8" ht="54.75">
      <c r="A107" s="35" t="s">
        <v>413</v>
      </c>
      <c r="B107" s="186" t="s">
        <v>422</v>
      </c>
      <c r="C107" s="33"/>
      <c r="D107" s="30"/>
      <c r="E107" s="31"/>
      <c r="F107" s="55">
        <v>24119</v>
      </c>
      <c r="G107" s="36">
        <v>24990</v>
      </c>
      <c r="H107" s="36">
        <v>25728</v>
      </c>
    </row>
    <row r="108" spans="1:8" ht="45" customHeight="1">
      <c r="A108" s="107" t="s">
        <v>416</v>
      </c>
      <c r="B108" s="187" t="s">
        <v>423</v>
      </c>
      <c r="C108" s="33" t="s">
        <v>237</v>
      </c>
      <c r="D108" s="33" t="s">
        <v>240</v>
      </c>
      <c r="E108" s="33" t="s">
        <v>294</v>
      </c>
      <c r="F108" s="46">
        <v>20055</v>
      </c>
      <c r="G108" s="167">
        <v>20926</v>
      </c>
      <c r="H108" s="46">
        <v>21664</v>
      </c>
    </row>
    <row r="109" spans="1:8" ht="45" customHeight="1">
      <c r="A109" s="107" t="s">
        <v>416</v>
      </c>
      <c r="B109" s="187" t="s">
        <v>423</v>
      </c>
      <c r="C109" s="33" t="s">
        <v>238</v>
      </c>
      <c r="D109" s="33" t="s">
        <v>240</v>
      </c>
      <c r="E109" s="33" t="s">
        <v>294</v>
      </c>
      <c r="F109" s="46">
        <v>3003</v>
      </c>
      <c r="G109" s="167">
        <v>3003</v>
      </c>
      <c r="H109" s="46">
        <v>3003</v>
      </c>
    </row>
    <row r="110" spans="1:8" ht="45" customHeight="1">
      <c r="A110" s="107" t="s">
        <v>416</v>
      </c>
      <c r="B110" s="187" t="s">
        <v>423</v>
      </c>
      <c r="C110" s="33" t="s">
        <v>239</v>
      </c>
      <c r="D110" s="33" t="s">
        <v>240</v>
      </c>
      <c r="E110" s="33" t="s">
        <v>294</v>
      </c>
      <c r="F110" s="46">
        <v>1061</v>
      </c>
      <c r="G110" s="167">
        <v>1061</v>
      </c>
      <c r="H110" s="46">
        <v>1061</v>
      </c>
    </row>
    <row r="111" spans="1:8" ht="75" customHeight="1">
      <c r="A111" s="142" t="s">
        <v>424</v>
      </c>
      <c r="B111" s="190" t="s">
        <v>425</v>
      </c>
      <c r="C111" s="85"/>
      <c r="D111" s="30"/>
      <c r="E111" s="31"/>
      <c r="F111" s="55">
        <v>30014</v>
      </c>
      <c r="G111" s="36">
        <v>33173</v>
      </c>
      <c r="H111" s="36">
        <v>33987</v>
      </c>
    </row>
    <row r="112" spans="1:8" ht="60" customHeight="1">
      <c r="A112" s="61" t="s">
        <v>334</v>
      </c>
      <c r="B112" s="188" t="s">
        <v>426</v>
      </c>
      <c r="C112" s="62" t="s">
        <v>237</v>
      </c>
      <c r="D112" s="85" t="s">
        <v>325</v>
      </c>
      <c r="E112" s="85" t="s">
        <v>325</v>
      </c>
      <c r="F112" s="46">
        <v>22089</v>
      </c>
      <c r="G112" s="167">
        <v>23048</v>
      </c>
      <c r="H112" s="46">
        <v>23862</v>
      </c>
    </row>
    <row r="113" spans="1:8" ht="60" customHeight="1">
      <c r="A113" s="61" t="s">
        <v>334</v>
      </c>
      <c r="B113" s="188" t="s">
        <v>426</v>
      </c>
      <c r="C113" s="62" t="s">
        <v>238</v>
      </c>
      <c r="D113" s="85" t="s">
        <v>325</v>
      </c>
      <c r="E113" s="85" t="s">
        <v>325</v>
      </c>
      <c r="F113" s="46">
        <v>1702</v>
      </c>
      <c r="G113" s="167">
        <v>1402</v>
      </c>
      <c r="H113" s="46">
        <v>1402</v>
      </c>
    </row>
    <row r="114" spans="1:8" ht="60" customHeight="1">
      <c r="A114" s="61" t="s">
        <v>334</v>
      </c>
      <c r="B114" s="188" t="s">
        <v>426</v>
      </c>
      <c r="C114" s="62" t="s">
        <v>239</v>
      </c>
      <c r="D114" s="85" t="s">
        <v>325</v>
      </c>
      <c r="E114" s="85" t="s">
        <v>325</v>
      </c>
      <c r="F114" s="46">
        <v>6223</v>
      </c>
      <c r="G114" s="167">
        <v>8723</v>
      </c>
      <c r="H114" s="46">
        <v>8723</v>
      </c>
    </row>
    <row r="115" spans="1:8" ht="15" customHeight="1">
      <c r="A115" s="61"/>
      <c r="B115" s="188"/>
      <c r="C115" s="62"/>
      <c r="D115" s="85"/>
      <c r="E115" s="85"/>
      <c r="F115" s="46"/>
      <c r="G115" s="46"/>
      <c r="H115" s="46"/>
    </row>
    <row r="116" spans="1:8" ht="60" customHeight="1">
      <c r="A116" s="41" t="s">
        <v>437</v>
      </c>
      <c r="B116" s="198" t="s">
        <v>325</v>
      </c>
      <c r="C116" s="42"/>
      <c r="D116" s="34"/>
      <c r="E116" s="42"/>
      <c r="F116" s="43">
        <v>4870196</v>
      </c>
      <c r="G116" s="43">
        <v>5084587</v>
      </c>
      <c r="H116" s="43">
        <v>5253717</v>
      </c>
    </row>
    <row r="117" spans="1:8" ht="30" customHeight="1">
      <c r="A117" s="41" t="s">
        <v>438</v>
      </c>
      <c r="B117" s="198" t="s">
        <v>439</v>
      </c>
      <c r="C117" s="42"/>
      <c r="D117" s="34"/>
      <c r="E117" s="42"/>
      <c r="F117" s="43">
        <v>1734396</v>
      </c>
      <c r="G117" s="73">
        <v>1815617</v>
      </c>
      <c r="H117" s="73">
        <v>1872597</v>
      </c>
    </row>
    <row r="118" spans="1:8" ht="120" customHeight="1">
      <c r="A118" s="93" t="s">
        <v>440</v>
      </c>
      <c r="B118" s="199" t="s">
        <v>441</v>
      </c>
      <c r="C118" s="33"/>
      <c r="D118" s="30"/>
      <c r="E118" s="31"/>
      <c r="F118" s="55">
        <v>823253</v>
      </c>
      <c r="G118" s="36">
        <v>901474</v>
      </c>
      <c r="H118" s="36">
        <v>954178</v>
      </c>
    </row>
    <row r="119" spans="1:8" ht="120" customHeight="1">
      <c r="A119" s="35" t="s">
        <v>444</v>
      </c>
      <c r="B119" s="193" t="s">
        <v>443</v>
      </c>
      <c r="C119" s="33" t="s">
        <v>274</v>
      </c>
      <c r="D119" s="122" t="s">
        <v>241</v>
      </c>
      <c r="E119" s="33" t="s">
        <v>218</v>
      </c>
      <c r="F119" s="46">
        <v>823253</v>
      </c>
      <c r="G119" s="51">
        <v>901474</v>
      </c>
      <c r="H119" s="51">
        <v>954178</v>
      </c>
    </row>
    <row r="120" spans="1:8" ht="41.25">
      <c r="A120" s="63" t="s">
        <v>445</v>
      </c>
      <c r="B120" s="199" t="s">
        <v>446</v>
      </c>
      <c r="C120" s="33"/>
      <c r="D120" s="30"/>
      <c r="E120" s="31"/>
      <c r="F120" s="55">
        <v>3200</v>
      </c>
      <c r="G120" s="68">
        <v>3200</v>
      </c>
      <c r="H120" s="68">
        <v>3200</v>
      </c>
    </row>
    <row r="121" spans="1:8" ht="45" customHeight="1">
      <c r="A121" s="143" t="s">
        <v>448</v>
      </c>
      <c r="B121" s="193" t="s">
        <v>447</v>
      </c>
      <c r="C121" s="33" t="s">
        <v>274</v>
      </c>
      <c r="D121" s="122" t="s">
        <v>241</v>
      </c>
      <c r="E121" s="33" t="s">
        <v>218</v>
      </c>
      <c r="F121" s="46">
        <v>3200</v>
      </c>
      <c r="G121" s="51">
        <v>3200</v>
      </c>
      <c r="H121" s="51">
        <v>3200</v>
      </c>
    </row>
    <row r="122" spans="1:8" ht="60" customHeight="1">
      <c r="A122" s="63" t="s">
        <v>453</v>
      </c>
      <c r="B122" s="199" t="s">
        <v>454</v>
      </c>
      <c r="C122" s="33"/>
      <c r="D122" s="30"/>
      <c r="E122" s="31"/>
      <c r="F122" s="55">
        <v>70043</v>
      </c>
      <c r="G122" s="36">
        <v>70043</v>
      </c>
      <c r="H122" s="36">
        <v>70043</v>
      </c>
    </row>
    <row r="123" spans="1:8" ht="60" customHeight="1">
      <c r="A123" s="63" t="s">
        <v>456</v>
      </c>
      <c r="B123" s="193" t="s">
        <v>455</v>
      </c>
      <c r="C123" s="33" t="s">
        <v>355</v>
      </c>
      <c r="D123" s="122" t="s">
        <v>241</v>
      </c>
      <c r="E123" s="33" t="s">
        <v>218</v>
      </c>
      <c r="F123" s="46">
        <v>26000</v>
      </c>
      <c r="G123" s="51">
        <v>26000</v>
      </c>
      <c r="H123" s="51">
        <v>26000</v>
      </c>
    </row>
    <row r="124" spans="1:8" ht="45" customHeight="1">
      <c r="A124" s="143" t="s">
        <v>458</v>
      </c>
      <c r="B124" s="193" t="s">
        <v>457</v>
      </c>
      <c r="C124" s="33" t="s">
        <v>274</v>
      </c>
      <c r="D124" s="122" t="s">
        <v>241</v>
      </c>
      <c r="E124" s="33" t="s">
        <v>218</v>
      </c>
      <c r="F124" s="55">
        <v>9124</v>
      </c>
      <c r="G124" s="56">
        <v>9124</v>
      </c>
      <c r="H124" s="56">
        <v>9124</v>
      </c>
    </row>
    <row r="125" spans="1:8" ht="60" customHeight="1">
      <c r="A125" s="93" t="s">
        <v>460</v>
      </c>
      <c r="B125" s="193" t="s">
        <v>459</v>
      </c>
      <c r="C125" s="33" t="s">
        <v>355</v>
      </c>
      <c r="D125" s="122" t="s">
        <v>241</v>
      </c>
      <c r="E125" s="33" t="s">
        <v>218</v>
      </c>
      <c r="F125" s="46">
        <v>24919</v>
      </c>
      <c r="G125" s="51">
        <v>24919</v>
      </c>
      <c r="H125" s="51">
        <v>24919</v>
      </c>
    </row>
    <row r="126" spans="1:8" ht="60" customHeight="1">
      <c r="A126" s="93" t="s">
        <v>460</v>
      </c>
      <c r="B126" s="193" t="s">
        <v>459</v>
      </c>
      <c r="C126" s="33" t="s">
        <v>274</v>
      </c>
      <c r="D126" s="122" t="s">
        <v>241</v>
      </c>
      <c r="E126" s="33" t="s">
        <v>218</v>
      </c>
      <c r="F126" s="46">
        <v>10000</v>
      </c>
      <c r="G126" s="51">
        <v>10000</v>
      </c>
      <c r="H126" s="51">
        <v>10000</v>
      </c>
    </row>
    <row r="127" spans="1:8" ht="105" customHeight="1">
      <c r="A127" s="35" t="s">
        <v>461</v>
      </c>
      <c r="B127" s="199" t="s">
        <v>462</v>
      </c>
      <c r="C127" s="33"/>
      <c r="D127" s="30"/>
      <c r="E127" s="31"/>
      <c r="F127" s="55">
        <v>837900</v>
      </c>
      <c r="G127" s="36">
        <v>840900</v>
      </c>
      <c r="H127" s="36">
        <v>845176</v>
      </c>
    </row>
    <row r="128" spans="1:8" ht="60" customHeight="1">
      <c r="A128" s="143" t="s">
        <v>466</v>
      </c>
      <c r="B128" s="193" t="s">
        <v>463</v>
      </c>
      <c r="C128" s="33" t="s">
        <v>274</v>
      </c>
      <c r="D128" s="122" t="s">
        <v>241</v>
      </c>
      <c r="E128" s="33" t="s">
        <v>218</v>
      </c>
      <c r="F128" s="46">
        <v>755787</v>
      </c>
      <c r="G128" s="51">
        <v>758787</v>
      </c>
      <c r="H128" s="51">
        <v>759787</v>
      </c>
    </row>
    <row r="129" spans="1:8" ht="124.5" customHeight="1">
      <c r="A129" s="144" t="s">
        <v>465</v>
      </c>
      <c r="B129" s="193" t="s">
        <v>464</v>
      </c>
      <c r="C129" s="33" t="s">
        <v>355</v>
      </c>
      <c r="D129" s="122" t="s">
        <v>399</v>
      </c>
      <c r="E129" s="33" t="s">
        <v>240</v>
      </c>
      <c r="F129" s="46">
        <v>81898</v>
      </c>
      <c r="G129" s="46">
        <v>81898</v>
      </c>
      <c r="H129" s="46">
        <v>85174</v>
      </c>
    </row>
    <row r="130" spans="1:8" ht="124.5" customHeight="1">
      <c r="A130" s="145" t="s">
        <v>96</v>
      </c>
      <c r="B130" s="201" t="s">
        <v>468</v>
      </c>
      <c r="C130" s="33" t="s">
        <v>274</v>
      </c>
      <c r="D130" s="62" t="s">
        <v>241</v>
      </c>
      <c r="E130" s="62" t="s">
        <v>218</v>
      </c>
      <c r="F130" s="46">
        <v>215</v>
      </c>
      <c r="G130" s="51">
        <v>215</v>
      </c>
      <c r="H130" s="51">
        <v>215</v>
      </c>
    </row>
    <row r="131" spans="1:8" ht="30" customHeight="1">
      <c r="A131" s="41" t="s">
        <v>471</v>
      </c>
      <c r="B131" s="198" t="s">
        <v>472</v>
      </c>
      <c r="C131" s="42"/>
      <c r="D131" s="34"/>
      <c r="E131" s="42"/>
      <c r="F131" s="43">
        <v>2547153</v>
      </c>
      <c r="G131" s="74">
        <v>2665914</v>
      </c>
      <c r="H131" s="74">
        <v>2772628</v>
      </c>
    </row>
    <row r="132" spans="1:8" ht="120" customHeight="1">
      <c r="A132" s="63" t="s">
        <v>473</v>
      </c>
      <c r="B132" s="199" t="s">
        <v>474</v>
      </c>
      <c r="C132" s="33"/>
      <c r="D132" s="30"/>
      <c r="E132" s="31"/>
      <c r="F132" s="55">
        <v>1899291</v>
      </c>
      <c r="G132" s="64">
        <v>2023802</v>
      </c>
      <c r="H132" s="64">
        <v>2129957</v>
      </c>
    </row>
    <row r="133" spans="1:8" ht="120" customHeight="1">
      <c r="A133" s="93" t="s">
        <v>476</v>
      </c>
      <c r="B133" s="193" t="s">
        <v>475</v>
      </c>
      <c r="C133" s="33" t="s">
        <v>237</v>
      </c>
      <c r="D133" s="122" t="s">
        <v>241</v>
      </c>
      <c r="E133" s="33" t="s">
        <v>356</v>
      </c>
      <c r="F133" s="46">
        <v>29635</v>
      </c>
      <c r="G133" s="51">
        <v>30820</v>
      </c>
      <c r="H133" s="51">
        <v>34354</v>
      </c>
    </row>
    <row r="134" spans="1:8" ht="120" customHeight="1">
      <c r="A134" s="93" t="s">
        <v>476</v>
      </c>
      <c r="B134" s="193" t="s">
        <v>475</v>
      </c>
      <c r="C134" s="33" t="s">
        <v>238</v>
      </c>
      <c r="D134" s="122" t="s">
        <v>241</v>
      </c>
      <c r="E134" s="33" t="s">
        <v>356</v>
      </c>
      <c r="F134" s="46">
        <v>238</v>
      </c>
      <c r="G134" s="51">
        <v>238</v>
      </c>
      <c r="H134" s="51">
        <v>284</v>
      </c>
    </row>
    <row r="135" spans="1:8" ht="120" customHeight="1">
      <c r="A135" s="93" t="s">
        <v>476</v>
      </c>
      <c r="B135" s="193" t="s">
        <v>475</v>
      </c>
      <c r="C135" s="33" t="s">
        <v>274</v>
      </c>
      <c r="D135" s="122" t="s">
        <v>241</v>
      </c>
      <c r="E135" s="33" t="s">
        <v>356</v>
      </c>
      <c r="F135" s="46">
        <v>1846248</v>
      </c>
      <c r="G135" s="46">
        <v>1969574</v>
      </c>
      <c r="H135" s="46">
        <v>2072149</v>
      </c>
    </row>
    <row r="136" spans="1:8" ht="105" customHeight="1">
      <c r="A136" s="93" t="s">
        <v>478</v>
      </c>
      <c r="B136" s="187" t="s">
        <v>477</v>
      </c>
      <c r="C136" s="33" t="s">
        <v>237</v>
      </c>
      <c r="D136" s="122" t="s">
        <v>241</v>
      </c>
      <c r="E136" s="33" t="s">
        <v>356</v>
      </c>
      <c r="F136" s="46">
        <v>234</v>
      </c>
      <c r="G136" s="51">
        <v>234</v>
      </c>
      <c r="H136" s="51">
        <v>234</v>
      </c>
    </row>
    <row r="137" spans="1:8" ht="105" customHeight="1">
      <c r="A137" s="93" t="s">
        <v>478</v>
      </c>
      <c r="B137" s="187" t="s">
        <v>477</v>
      </c>
      <c r="C137" s="33" t="s">
        <v>274</v>
      </c>
      <c r="D137" s="122" t="s">
        <v>241</v>
      </c>
      <c r="E137" s="33" t="s">
        <v>356</v>
      </c>
      <c r="F137" s="46">
        <v>22936</v>
      </c>
      <c r="G137" s="46">
        <v>22936</v>
      </c>
      <c r="H137" s="46">
        <v>22936</v>
      </c>
    </row>
    <row r="138" spans="1:8" ht="45" customHeight="1">
      <c r="A138" s="93" t="s">
        <v>479</v>
      </c>
      <c r="B138" s="199" t="s">
        <v>480</v>
      </c>
      <c r="C138" s="33"/>
      <c r="D138" s="30"/>
      <c r="E138" s="31"/>
      <c r="F138" s="55">
        <v>13976</v>
      </c>
      <c r="G138" s="64">
        <v>4200</v>
      </c>
      <c r="H138" s="64">
        <v>4200</v>
      </c>
    </row>
    <row r="139" spans="1:8" ht="30" customHeight="1">
      <c r="A139" s="93" t="s">
        <v>482</v>
      </c>
      <c r="B139" s="193" t="s">
        <v>481</v>
      </c>
      <c r="C139" s="33" t="s">
        <v>274</v>
      </c>
      <c r="D139" s="122" t="s">
        <v>241</v>
      </c>
      <c r="E139" s="33" t="s">
        <v>356</v>
      </c>
      <c r="F139" s="46">
        <v>4200</v>
      </c>
      <c r="G139" s="51">
        <v>4200</v>
      </c>
      <c r="H139" s="51">
        <v>4200</v>
      </c>
    </row>
    <row r="140" spans="1:8" ht="57" customHeight="1">
      <c r="A140" s="35" t="s">
        <v>451</v>
      </c>
      <c r="B140" s="187" t="s">
        <v>484</v>
      </c>
      <c r="C140" s="33" t="s">
        <v>279</v>
      </c>
      <c r="D140" s="122" t="s">
        <v>241</v>
      </c>
      <c r="E140" s="33" t="s">
        <v>356</v>
      </c>
      <c r="F140" s="46">
        <v>9776</v>
      </c>
      <c r="G140" s="51">
        <v>0</v>
      </c>
      <c r="H140" s="51">
        <v>0</v>
      </c>
    </row>
    <row r="141" spans="1:8" ht="30" customHeight="1">
      <c r="A141" s="35" t="s">
        <v>485</v>
      </c>
      <c r="B141" s="195" t="s">
        <v>486</v>
      </c>
      <c r="C141" s="33"/>
      <c r="D141" s="30"/>
      <c r="E141" s="31"/>
      <c r="F141" s="55">
        <v>1377</v>
      </c>
      <c r="G141" s="64">
        <v>1377</v>
      </c>
      <c r="H141" s="64">
        <v>1377</v>
      </c>
    </row>
    <row r="142" spans="1:8" ht="60" customHeight="1">
      <c r="A142" s="35" t="s">
        <v>488</v>
      </c>
      <c r="B142" s="184" t="s">
        <v>487</v>
      </c>
      <c r="C142" s="33" t="s">
        <v>355</v>
      </c>
      <c r="D142" s="122">
        <v>10</v>
      </c>
      <c r="E142" s="33" t="s">
        <v>219</v>
      </c>
      <c r="F142" s="46">
        <v>1377</v>
      </c>
      <c r="G142" s="51">
        <v>1377</v>
      </c>
      <c r="H142" s="51">
        <v>1377</v>
      </c>
    </row>
    <row r="143" spans="1:8" ht="75" customHeight="1">
      <c r="A143" s="35" t="s">
        <v>489</v>
      </c>
      <c r="B143" s="199" t="s">
        <v>490</v>
      </c>
      <c r="C143" s="33"/>
      <c r="D143" s="30"/>
      <c r="E143" s="31"/>
      <c r="F143" s="55">
        <v>577440</v>
      </c>
      <c r="G143" s="64">
        <v>577550</v>
      </c>
      <c r="H143" s="64">
        <v>575954</v>
      </c>
    </row>
    <row r="144" spans="1:8" ht="60" customHeight="1">
      <c r="A144" s="93" t="s">
        <v>247</v>
      </c>
      <c r="B144" s="193" t="s">
        <v>491</v>
      </c>
      <c r="C144" s="33" t="s">
        <v>237</v>
      </c>
      <c r="D144" s="122" t="s">
        <v>241</v>
      </c>
      <c r="E144" s="33" t="s">
        <v>356</v>
      </c>
      <c r="F144" s="46">
        <v>230</v>
      </c>
      <c r="G144" s="51">
        <v>240</v>
      </c>
      <c r="H144" s="51">
        <v>248</v>
      </c>
    </row>
    <row r="145" spans="1:8" ht="60" customHeight="1">
      <c r="A145" s="93" t="s">
        <v>247</v>
      </c>
      <c r="B145" s="193" t="s">
        <v>491</v>
      </c>
      <c r="C145" s="33" t="s">
        <v>238</v>
      </c>
      <c r="D145" s="122" t="s">
        <v>241</v>
      </c>
      <c r="E145" s="33" t="s">
        <v>356</v>
      </c>
      <c r="F145" s="46">
        <v>4778</v>
      </c>
      <c r="G145" s="51">
        <v>4778</v>
      </c>
      <c r="H145" s="51">
        <v>4778</v>
      </c>
    </row>
    <row r="146" spans="1:8" ht="60" customHeight="1">
      <c r="A146" s="93" t="s">
        <v>247</v>
      </c>
      <c r="B146" s="193" t="s">
        <v>491</v>
      </c>
      <c r="C146" s="33" t="s">
        <v>274</v>
      </c>
      <c r="D146" s="122" t="s">
        <v>241</v>
      </c>
      <c r="E146" s="33" t="s">
        <v>356</v>
      </c>
      <c r="F146" s="46">
        <v>569727</v>
      </c>
      <c r="G146" s="51">
        <v>569827</v>
      </c>
      <c r="H146" s="51">
        <v>569877</v>
      </c>
    </row>
    <row r="147" spans="1:8" ht="60" customHeight="1">
      <c r="A147" s="93" t="s">
        <v>247</v>
      </c>
      <c r="B147" s="193" t="s">
        <v>491</v>
      </c>
      <c r="C147" s="33" t="s">
        <v>239</v>
      </c>
      <c r="D147" s="122" t="s">
        <v>241</v>
      </c>
      <c r="E147" s="33" t="s">
        <v>356</v>
      </c>
      <c r="F147" s="46">
        <v>1051</v>
      </c>
      <c r="G147" s="51">
        <v>1051</v>
      </c>
      <c r="H147" s="51">
        <v>1051</v>
      </c>
    </row>
    <row r="148" spans="1:8" ht="75" customHeight="1">
      <c r="A148" s="61" t="s">
        <v>493</v>
      </c>
      <c r="B148" s="201" t="s">
        <v>492</v>
      </c>
      <c r="C148" s="62" t="s">
        <v>274</v>
      </c>
      <c r="D148" s="122" t="s">
        <v>241</v>
      </c>
      <c r="E148" s="33" t="s">
        <v>248</v>
      </c>
      <c r="F148" s="46">
        <v>1654</v>
      </c>
      <c r="G148" s="51">
        <v>1654</v>
      </c>
      <c r="H148" s="51">
        <v>0</v>
      </c>
    </row>
    <row r="149" spans="1:8" ht="60" customHeight="1">
      <c r="A149" s="63" t="s">
        <v>494</v>
      </c>
      <c r="B149" s="199" t="s">
        <v>495</v>
      </c>
      <c r="C149" s="33"/>
      <c r="D149" s="30"/>
      <c r="E149" s="31"/>
      <c r="F149" s="55">
        <v>3750</v>
      </c>
      <c r="G149" s="64">
        <v>3750</v>
      </c>
      <c r="H149" s="64">
        <v>3750</v>
      </c>
    </row>
    <row r="150" spans="1:8" ht="45" customHeight="1">
      <c r="A150" s="93" t="s">
        <v>497</v>
      </c>
      <c r="B150" s="193" t="s">
        <v>496</v>
      </c>
      <c r="C150" s="33" t="s">
        <v>355</v>
      </c>
      <c r="D150" s="122" t="s">
        <v>241</v>
      </c>
      <c r="E150" s="33" t="s">
        <v>248</v>
      </c>
      <c r="F150" s="46">
        <v>1200</v>
      </c>
      <c r="G150" s="51">
        <v>1200</v>
      </c>
      <c r="H150" s="51">
        <v>1200</v>
      </c>
    </row>
    <row r="151" spans="1:8" ht="45" customHeight="1">
      <c r="A151" s="93" t="s">
        <v>497</v>
      </c>
      <c r="B151" s="193" t="s">
        <v>496</v>
      </c>
      <c r="C151" s="33" t="s">
        <v>274</v>
      </c>
      <c r="D151" s="33" t="s">
        <v>241</v>
      </c>
      <c r="E151" s="33" t="s">
        <v>356</v>
      </c>
      <c r="F151" s="46">
        <v>1810</v>
      </c>
      <c r="G151" s="46">
        <v>1810</v>
      </c>
      <c r="H151" s="46">
        <v>1810</v>
      </c>
    </row>
    <row r="152" spans="1:8" s="11" customFormat="1" ht="45" customHeight="1">
      <c r="A152" s="93" t="s">
        <v>497</v>
      </c>
      <c r="B152" s="193" t="s">
        <v>496</v>
      </c>
      <c r="C152" s="33" t="s">
        <v>274</v>
      </c>
      <c r="D152" s="33" t="s">
        <v>241</v>
      </c>
      <c r="E152" s="33" t="s">
        <v>241</v>
      </c>
      <c r="F152" s="46">
        <v>200</v>
      </c>
      <c r="G152" s="51">
        <v>200</v>
      </c>
      <c r="H152" s="51">
        <v>200</v>
      </c>
    </row>
    <row r="153" spans="1:8" ht="45" customHeight="1">
      <c r="A153" s="93" t="s">
        <v>497</v>
      </c>
      <c r="B153" s="193" t="s">
        <v>496</v>
      </c>
      <c r="C153" s="33" t="s">
        <v>274</v>
      </c>
      <c r="D153" s="33" t="s">
        <v>241</v>
      </c>
      <c r="E153" s="33" t="s">
        <v>248</v>
      </c>
      <c r="F153" s="46">
        <v>540</v>
      </c>
      <c r="G153" s="51">
        <v>500</v>
      </c>
      <c r="H153" s="51">
        <v>500</v>
      </c>
    </row>
    <row r="154" spans="1:8" ht="45" customHeight="1">
      <c r="A154" s="35" t="s">
        <v>498</v>
      </c>
      <c r="B154" s="199" t="s">
        <v>499</v>
      </c>
      <c r="C154" s="33"/>
      <c r="D154" s="30"/>
      <c r="E154" s="31"/>
      <c r="F154" s="55">
        <v>51319</v>
      </c>
      <c r="G154" s="69">
        <v>55235</v>
      </c>
      <c r="H154" s="69">
        <v>57390</v>
      </c>
    </row>
    <row r="155" spans="1:8" ht="45" customHeight="1">
      <c r="A155" s="93" t="s">
        <v>501</v>
      </c>
      <c r="B155" s="193" t="s">
        <v>500</v>
      </c>
      <c r="C155" s="33" t="s">
        <v>355</v>
      </c>
      <c r="D155" s="122" t="s">
        <v>399</v>
      </c>
      <c r="E155" s="33" t="s">
        <v>219</v>
      </c>
      <c r="F155" s="46">
        <v>4862</v>
      </c>
      <c r="G155" s="46">
        <v>4908</v>
      </c>
      <c r="H155" s="46">
        <v>5915</v>
      </c>
    </row>
    <row r="156" spans="1:8" ht="45" customHeight="1">
      <c r="A156" s="93" t="s">
        <v>501</v>
      </c>
      <c r="B156" s="193" t="s">
        <v>500</v>
      </c>
      <c r="C156" s="33" t="s">
        <v>274</v>
      </c>
      <c r="D156" s="122" t="s">
        <v>399</v>
      </c>
      <c r="E156" s="33" t="s">
        <v>219</v>
      </c>
      <c r="F156" s="46">
        <v>46457</v>
      </c>
      <c r="G156" s="46">
        <v>50327</v>
      </c>
      <c r="H156" s="46">
        <v>51475</v>
      </c>
    </row>
    <row r="157" spans="1:8" ht="30" customHeight="1">
      <c r="A157" s="41" t="s">
        <v>502</v>
      </c>
      <c r="B157" s="198" t="s">
        <v>503</v>
      </c>
      <c r="C157" s="42"/>
      <c r="D157" s="34"/>
      <c r="E157" s="42"/>
      <c r="F157" s="43">
        <v>381330</v>
      </c>
      <c r="G157" s="74">
        <v>391330</v>
      </c>
      <c r="H157" s="74">
        <v>393330</v>
      </c>
    </row>
    <row r="158" spans="1:8" ht="75" customHeight="1">
      <c r="A158" s="35" t="s">
        <v>504</v>
      </c>
      <c r="B158" s="199" t="s">
        <v>505</v>
      </c>
      <c r="C158" s="33"/>
      <c r="D158" s="30"/>
      <c r="E158" s="31"/>
      <c r="F158" s="55">
        <v>378306</v>
      </c>
      <c r="G158" s="69">
        <v>388306</v>
      </c>
      <c r="H158" s="69">
        <v>390306</v>
      </c>
    </row>
    <row r="159" spans="1:8" ht="60" customHeight="1">
      <c r="A159" s="93" t="s">
        <v>466</v>
      </c>
      <c r="B159" s="193" t="s">
        <v>506</v>
      </c>
      <c r="C159" s="33" t="s">
        <v>274</v>
      </c>
      <c r="D159" s="122" t="s">
        <v>241</v>
      </c>
      <c r="E159" s="33" t="s">
        <v>219</v>
      </c>
      <c r="F159" s="46">
        <v>378306</v>
      </c>
      <c r="G159" s="51">
        <v>388306</v>
      </c>
      <c r="H159" s="51">
        <v>390306</v>
      </c>
    </row>
    <row r="160" spans="1:8" ht="45" customHeight="1">
      <c r="A160" s="93" t="s">
        <v>507</v>
      </c>
      <c r="B160" s="199" t="s">
        <v>509</v>
      </c>
      <c r="C160" s="33"/>
      <c r="D160" s="30"/>
      <c r="E160" s="31"/>
      <c r="F160" s="55">
        <v>3024</v>
      </c>
      <c r="G160" s="64">
        <v>3024</v>
      </c>
      <c r="H160" s="64">
        <v>3024</v>
      </c>
    </row>
    <row r="161" spans="1:8" ht="30" customHeight="1">
      <c r="A161" s="146" t="s">
        <v>250</v>
      </c>
      <c r="B161" s="193" t="s">
        <v>510</v>
      </c>
      <c r="C161" s="33" t="s">
        <v>274</v>
      </c>
      <c r="D161" s="122" t="s">
        <v>508</v>
      </c>
      <c r="E161" s="33" t="s">
        <v>218</v>
      </c>
      <c r="F161" s="46">
        <v>3024</v>
      </c>
      <c r="G161" s="46">
        <v>3024</v>
      </c>
      <c r="H161" s="46">
        <v>3024</v>
      </c>
    </row>
    <row r="162" spans="1:8" ht="45" customHeight="1">
      <c r="A162" s="106" t="s">
        <v>515</v>
      </c>
      <c r="B162" s="198" t="s">
        <v>516</v>
      </c>
      <c r="C162" s="42"/>
      <c r="D162" s="34"/>
      <c r="E162" s="42"/>
      <c r="F162" s="43">
        <v>77250</v>
      </c>
      <c r="G162" s="74">
        <v>77650</v>
      </c>
      <c r="H162" s="74">
        <v>77750</v>
      </c>
    </row>
    <row r="163" spans="1:8" ht="75" customHeight="1">
      <c r="A163" s="54" t="s">
        <v>504</v>
      </c>
      <c r="B163" s="199" t="s">
        <v>517</v>
      </c>
      <c r="C163" s="33"/>
      <c r="D163" s="30"/>
      <c r="E163" s="31"/>
      <c r="F163" s="55">
        <v>49522</v>
      </c>
      <c r="G163" s="36">
        <v>49922</v>
      </c>
      <c r="H163" s="36">
        <v>50022</v>
      </c>
    </row>
    <row r="164" spans="1:8" ht="62.25" customHeight="1">
      <c r="A164" s="93" t="s">
        <v>466</v>
      </c>
      <c r="B164" s="193" t="s">
        <v>518</v>
      </c>
      <c r="C164" s="33" t="s">
        <v>274</v>
      </c>
      <c r="D164" s="122" t="s">
        <v>241</v>
      </c>
      <c r="E164" s="33" t="s">
        <v>241</v>
      </c>
      <c r="F164" s="46">
        <v>49522</v>
      </c>
      <c r="G164" s="46">
        <v>49922</v>
      </c>
      <c r="H164" s="46">
        <v>50022</v>
      </c>
    </row>
    <row r="165" spans="1:8" ht="54.75">
      <c r="A165" s="63" t="s">
        <v>519</v>
      </c>
      <c r="B165" s="199" t="s">
        <v>520</v>
      </c>
      <c r="C165" s="33"/>
      <c r="D165" s="30"/>
      <c r="E165" s="31"/>
      <c r="F165" s="55">
        <v>26728</v>
      </c>
      <c r="G165" s="36">
        <v>26728</v>
      </c>
      <c r="H165" s="36">
        <v>26728</v>
      </c>
    </row>
    <row r="166" spans="1:8" ht="41.25">
      <c r="A166" s="93" t="s">
        <v>522</v>
      </c>
      <c r="B166" s="193" t="s">
        <v>521</v>
      </c>
      <c r="C166" s="33" t="s">
        <v>238</v>
      </c>
      <c r="D166" s="122" t="s">
        <v>241</v>
      </c>
      <c r="E166" s="33" t="s">
        <v>241</v>
      </c>
      <c r="F166" s="55">
        <v>21900</v>
      </c>
      <c r="G166" s="36">
        <v>21900</v>
      </c>
      <c r="H166" s="36">
        <v>21900</v>
      </c>
    </row>
    <row r="167" spans="1:8" ht="60" customHeight="1">
      <c r="A167" s="63" t="s">
        <v>442</v>
      </c>
      <c r="B167" s="193" t="s">
        <v>523</v>
      </c>
      <c r="C167" s="33" t="s">
        <v>274</v>
      </c>
      <c r="D167" s="122" t="s">
        <v>241</v>
      </c>
      <c r="E167" s="33" t="s">
        <v>241</v>
      </c>
      <c r="F167" s="46">
        <v>4828</v>
      </c>
      <c r="G167" s="46">
        <v>4828</v>
      </c>
      <c r="H167" s="46">
        <v>4828</v>
      </c>
    </row>
    <row r="168" spans="1:8" ht="45" customHeight="1">
      <c r="A168" s="63" t="s">
        <v>524</v>
      </c>
      <c r="B168" s="199" t="s">
        <v>525</v>
      </c>
      <c r="C168" s="33"/>
      <c r="D168" s="30"/>
      <c r="E168" s="31"/>
      <c r="F168" s="55">
        <v>1000</v>
      </c>
      <c r="G168" s="68">
        <v>1000</v>
      </c>
      <c r="H168" s="68">
        <v>1000</v>
      </c>
    </row>
    <row r="169" spans="1:8" ht="60" customHeight="1">
      <c r="A169" s="63" t="s">
        <v>442</v>
      </c>
      <c r="B169" s="193" t="s">
        <v>526</v>
      </c>
      <c r="C169" s="33" t="s">
        <v>274</v>
      </c>
      <c r="D169" s="122" t="s">
        <v>241</v>
      </c>
      <c r="E169" s="33" t="s">
        <v>241</v>
      </c>
      <c r="F169" s="46">
        <v>1000</v>
      </c>
      <c r="G169" s="46">
        <v>1000</v>
      </c>
      <c r="H169" s="46">
        <v>1000</v>
      </c>
    </row>
    <row r="170" spans="1:8" ht="45" customHeight="1">
      <c r="A170" s="147" t="s">
        <v>323</v>
      </c>
      <c r="B170" s="202" t="s">
        <v>535</v>
      </c>
      <c r="C170" s="90"/>
      <c r="D170" s="34"/>
      <c r="E170" s="42"/>
      <c r="F170" s="43">
        <v>130067</v>
      </c>
      <c r="G170" s="74">
        <v>134076</v>
      </c>
      <c r="H170" s="74">
        <v>137412</v>
      </c>
    </row>
    <row r="171" spans="1:8" ht="60" customHeight="1">
      <c r="A171" s="54" t="s">
        <v>527</v>
      </c>
      <c r="B171" s="199" t="s">
        <v>528</v>
      </c>
      <c r="C171" s="33"/>
      <c r="D171" s="30"/>
      <c r="E171" s="31"/>
      <c r="F171" s="55">
        <v>14352</v>
      </c>
      <c r="G171" s="64">
        <v>14975</v>
      </c>
      <c r="H171" s="64">
        <v>15503</v>
      </c>
    </row>
    <row r="172" spans="1:8" ht="45" customHeight="1">
      <c r="A172" s="94" t="s">
        <v>416</v>
      </c>
      <c r="B172" s="193" t="s">
        <v>529</v>
      </c>
      <c r="C172" s="33" t="s">
        <v>237</v>
      </c>
      <c r="D172" s="122" t="s">
        <v>241</v>
      </c>
      <c r="E172" s="33" t="s">
        <v>248</v>
      </c>
      <c r="F172" s="46">
        <v>14352</v>
      </c>
      <c r="G172" s="51">
        <v>14975</v>
      </c>
      <c r="H172" s="51">
        <v>15503</v>
      </c>
    </row>
    <row r="173" spans="1:8" ht="75" customHeight="1">
      <c r="A173" s="54" t="s">
        <v>504</v>
      </c>
      <c r="B173" s="199" t="s">
        <v>530</v>
      </c>
      <c r="C173" s="33"/>
      <c r="D173" s="30"/>
      <c r="E173" s="31"/>
      <c r="F173" s="55">
        <v>111629</v>
      </c>
      <c r="G173" s="64">
        <v>115015</v>
      </c>
      <c r="H173" s="64">
        <v>117823</v>
      </c>
    </row>
    <row r="174" spans="1:8" ht="60" customHeight="1">
      <c r="A174" s="93" t="s">
        <v>466</v>
      </c>
      <c r="B174" s="193" t="s">
        <v>531</v>
      </c>
      <c r="C174" s="33" t="s">
        <v>237</v>
      </c>
      <c r="D174" s="122" t="s">
        <v>241</v>
      </c>
      <c r="E174" s="33" t="s">
        <v>248</v>
      </c>
      <c r="F174" s="46">
        <v>74096</v>
      </c>
      <c r="G174" s="51">
        <v>77312</v>
      </c>
      <c r="H174" s="51">
        <v>80040</v>
      </c>
    </row>
    <row r="175" spans="1:8" ht="60" customHeight="1">
      <c r="A175" s="93" t="s">
        <v>466</v>
      </c>
      <c r="B175" s="193" t="s">
        <v>531</v>
      </c>
      <c r="C175" s="33" t="s">
        <v>238</v>
      </c>
      <c r="D175" s="122" t="s">
        <v>241</v>
      </c>
      <c r="E175" s="33" t="s">
        <v>248</v>
      </c>
      <c r="F175" s="46">
        <v>10001</v>
      </c>
      <c r="G175" s="51">
        <v>10001</v>
      </c>
      <c r="H175" s="51">
        <v>10001</v>
      </c>
    </row>
    <row r="176" spans="1:8" ht="60" customHeight="1">
      <c r="A176" s="93" t="s">
        <v>466</v>
      </c>
      <c r="B176" s="193" t="s">
        <v>531</v>
      </c>
      <c r="C176" s="33" t="s">
        <v>274</v>
      </c>
      <c r="D176" s="122" t="s">
        <v>241</v>
      </c>
      <c r="E176" s="33" t="s">
        <v>248</v>
      </c>
      <c r="F176" s="46">
        <v>26154</v>
      </c>
      <c r="G176" s="51">
        <v>26324</v>
      </c>
      <c r="H176" s="51">
        <v>26404</v>
      </c>
    </row>
    <row r="177" spans="1:8" ht="60" customHeight="1">
      <c r="A177" s="93" t="s">
        <v>466</v>
      </c>
      <c r="B177" s="193" t="s">
        <v>531</v>
      </c>
      <c r="C177" s="33" t="s">
        <v>239</v>
      </c>
      <c r="D177" s="122" t="s">
        <v>241</v>
      </c>
      <c r="E177" s="33" t="s">
        <v>248</v>
      </c>
      <c r="F177" s="46">
        <v>1378</v>
      </c>
      <c r="G177" s="51">
        <v>1378</v>
      </c>
      <c r="H177" s="51">
        <v>1378</v>
      </c>
    </row>
    <row r="178" spans="1:8" ht="45" customHeight="1">
      <c r="A178" s="93" t="s">
        <v>524</v>
      </c>
      <c r="B178" s="199" t="s">
        <v>532</v>
      </c>
      <c r="C178" s="33"/>
      <c r="D178" s="30"/>
      <c r="E178" s="31"/>
      <c r="F178" s="55">
        <v>4086</v>
      </c>
      <c r="G178" s="64">
        <v>4086</v>
      </c>
      <c r="H178" s="64">
        <v>4086</v>
      </c>
    </row>
    <row r="179" spans="1:8" ht="30" customHeight="1">
      <c r="A179" s="148" t="s">
        <v>250</v>
      </c>
      <c r="B179" s="193" t="s">
        <v>533</v>
      </c>
      <c r="C179" s="33" t="s">
        <v>238</v>
      </c>
      <c r="D179" s="122" t="s">
        <v>241</v>
      </c>
      <c r="E179" s="33" t="s">
        <v>248</v>
      </c>
      <c r="F179" s="46">
        <v>600</v>
      </c>
      <c r="G179" s="51">
        <v>600</v>
      </c>
      <c r="H179" s="51">
        <v>600</v>
      </c>
    </row>
    <row r="180" spans="1:8" ht="30" customHeight="1">
      <c r="A180" s="148" t="s">
        <v>250</v>
      </c>
      <c r="B180" s="201" t="s">
        <v>533</v>
      </c>
      <c r="C180" s="62" t="s">
        <v>355</v>
      </c>
      <c r="D180" s="122" t="s">
        <v>241</v>
      </c>
      <c r="E180" s="33" t="s">
        <v>248</v>
      </c>
      <c r="F180" s="46">
        <v>1516</v>
      </c>
      <c r="G180" s="51">
        <v>1516</v>
      </c>
      <c r="H180" s="51">
        <v>1516</v>
      </c>
    </row>
    <row r="181" spans="1:8" ht="30" customHeight="1">
      <c r="A181" s="148" t="s">
        <v>250</v>
      </c>
      <c r="B181" s="201" t="s">
        <v>533</v>
      </c>
      <c r="C181" s="62" t="s">
        <v>274</v>
      </c>
      <c r="D181" s="122" t="s">
        <v>241</v>
      </c>
      <c r="E181" s="33" t="s">
        <v>219</v>
      </c>
      <c r="F181" s="46">
        <v>1200</v>
      </c>
      <c r="G181" s="51">
        <v>1200</v>
      </c>
      <c r="H181" s="51">
        <v>1200</v>
      </c>
    </row>
    <row r="182" spans="1:8" ht="30" customHeight="1">
      <c r="A182" s="148" t="s">
        <v>250</v>
      </c>
      <c r="B182" s="201" t="s">
        <v>533</v>
      </c>
      <c r="C182" s="62" t="s">
        <v>274</v>
      </c>
      <c r="D182" s="122" t="s">
        <v>241</v>
      </c>
      <c r="E182" s="33" t="s">
        <v>248</v>
      </c>
      <c r="F182" s="46">
        <v>770</v>
      </c>
      <c r="G182" s="51">
        <v>770</v>
      </c>
      <c r="H182" s="51">
        <v>770</v>
      </c>
    </row>
    <row r="183" spans="1:8" ht="15" customHeight="1">
      <c r="A183" s="148"/>
      <c r="B183" s="193"/>
      <c r="C183" s="33"/>
      <c r="D183" s="122"/>
      <c r="E183" s="33"/>
      <c r="F183" s="46"/>
      <c r="G183" s="51"/>
      <c r="H183" s="51"/>
    </row>
    <row r="184" spans="1:8" ht="60" customHeight="1">
      <c r="A184" s="106" t="s">
        <v>534</v>
      </c>
      <c r="B184" s="198" t="s">
        <v>241</v>
      </c>
      <c r="C184" s="42"/>
      <c r="D184" s="34"/>
      <c r="E184" s="42"/>
      <c r="F184" s="43">
        <v>1701955</v>
      </c>
      <c r="G184" s="74">
        <v>1746148</v>
      </c>
      <c r="H184" s="74">
        <v>1805550</v>
      </c>
    </row>
    <row r="185" spans="1:8" ht="43.5" customHeight="1">
      <c r="A185" s="106" t="s">
        <v>536</v>
      </c>
      <c r="B185" s="198" t="s">
        <v>537</v>
      </c>
      <c r="C185" s="42"/>
      <c r="D185" s="34"/>
      <c r="E185" s="42"/>
      <c r="F185" s="43">
        <v>1673217</v>
      </c>
      <c r="G185" s="74">
        <v>1717621</v>
      </c>
      <c r="H185" s="74">
        <v>1776733</v>
      </c>
    </row>
    <row r="186" spans="1:8" ht="45" customHeight="1">
      <c r="A186" s="93" t="s">
        <v>538</v>
      </c>
      <c r="B186" s="186" t="s">
        <v>539</v>
      </c>
      <c r="C186" s="33"/>
      <c r="D186" s="30"/>
      <c r="E186" s="31"/>
      <c r="F186" s="55">
        <v>802789</v>
      </c>
      <c r="G186" s="69">
        <v>814358</v>
      </c>
      <c r="H186" s="69">
        <v>844120</v>
      </c>
    </row>
    <row r="187" spans="1:8" ht="60" customHeight="1">
      <c r="A187" s="93" t="s">
        <v>557</v>
      </c>
      <c r="B187" s="193" t="s">
        <v>540</v>
      </c>
      <c r="C187" s="33" t="s">
        <v>238</v>
      </c>
      <c r="D187" s="122">
        <v>10</v>
      </c>
      <c r="E187" s="33" t="s">
        <v>219</v>
      </c>
      <c r="F187" s="46">
        <v>6074</v>
      </c>
      <c r="G187" s="51">
        <v>6074</v>
      </c>
      <c r="H187" s="51">
        <v>6317</v>
      </c>
    </row>
    <row r="188" spans="1:8" ht="60" customHeight="1">
      <c r="A188" s="93" t="s">
        <v>557</v>
      </c>
      <c r="B188" s="193" t="s">
        <v>540</v>
      </c>
      <c r="C188" s="33" t="s">
        <v>355</v>
      </c>
      <c r="D188" s="122">
        <v>10</v>
      </c>
      <c r="E188" s="33" t="s">
        <v>219</v>
      </c>
      <c r="F188" s="46">
        <v>514863</v>
      </c>
      <c r="G188" s="51">
        <v>514835</v>
      </c>
      <c r="H188" s="51">
        <v>535428</v>
      </c>
    </row>
    <row r="189" spans="1:8" ht="75" customHeight="1">
      <c r="A189" s="93" t="s">
        <v>559</v>
      </c>
      <c r="B189" s="193" t="s">
        <v>558</v>
      </c>
      <c r="C189" s="33" t="s">
        <v>238</v>
      </c>
      <c r="D189" s="33" t="s">
        <v>399</v>
      </c>
      <c r="E189" s="33" t="s">
        <v>219</v>
      </c>
      <c r="F189" s="46">
        <v>192</v>
      </c>
      <c r="G189" s="51">
        <v>203</v>
      </c>
      <c r="H189" s="51">
        <v>224</v>
      </c>
    </row>
    <row r="190" spans="1:8" ht="75" customHeight="1">
      <c r="A190" s="93" t="s">
        <v>559</v>
      </c>
      <c r="B190" s="193" t="s">
        <v>558</v>
      </c>
      <c r="C190" s="33" t="s">
        <v>355</v>
      </c>
      <c r="D190" s="33" t="s">
        <v>399</v>
      </c>
      <c r="E190" s="33" t="s">
        <v>219</v>
      </c>
      <c r="F190" s="46">
        <v>19183</v>
      </c>
      <c r="G190" s="51">
        <v>20246</v>
      </c>
      <c r="H190" s="51">
        <v>21043</v>
      </c>
    </row>
    <row r="191" spans="1:8" ht="75" customHeight="1">
      <c r="A191" s="93" t="s">
        <v>561</v>
      </c>
      <c r="B191" s="193" t="s">
        <v>560</v>
      </c>
      <c r="C191" s="33" t="s">
        <v>238</v>
      </c>
      <c r="D191" s="33" t="s">
        <v>399</v>
      </c>
      <c r="E191" s="33" t="s">
        <v>219</v>
      </c>
      <c r="F191" s="46">
        <v>2065</v>
      </c>
      <c r="G191" s="51">
        <v>2148</v>
      </c>
      <c r="H191" s="51">
        <v>2234</v>
      </c>
    </row>
    <row r="192" spans="1:8" ht="75" customHeight="1">
      <c r="A192" s="93" t="s">
        <v>561</v>
      </c>
      <c r="B192" s="193" t="s">
        <v>560</v>
      </c>
      <c r="C192" s="33" t="s">
        <v>355</v>
      </c>
      <c r="D192" s="33" t="s">
        <v>399</v>
      </c>
      <c r="E192" s="33" t="s">
        <v>219</v>
      </c>
      <c r="F192" s="46">
        <v>198519</v>
      </c>
      <c r="G192" s="51">
        <v>206459</v>
      </c>
      <c r="H192" s="51">
        <v>214717</v>
      </c>
    </row>
    <row r="193" spans="1:8" ht="120" customHeight="1">
      <c r="A193" s="93" t="s">
        <v>563</v>
      </c>
      <c r="B193" s="193" t="s">
        <v>562</v>
      </c>
      <c r="C193" s="31" t="s">
        <v>238</v>
      </c>
      <c r="D193" s="33" t="s">
        <v>399</v>
      </c>
      <c r="E193" s="33" t="s">
        <v>219</v>
      </c>
      <c r="F193" s="46">
        <v>94</v>
      </c>
      <c r="G193" s="51">
        <v>98</v>
      </c>
      <c r="H193" s="51">
        <v>101</v>
      </c>
    </row>
    <row r="194" spans="1:8" ht="120" customHeight="1">
      <c r="A194" s="93" t="s">
        <v>563</v>
      </c>
      <c r="B194" s="193" t="s">
        <v>562</v>
      </c>
      <c r="C194" s="33" t="s">
        <v>355</v>
      </c>
      <c r="D194" s="33" t="s">
        <v>399</v>
      </c>
      <c r="E194" s="33" t="s">
        <v>219</v>
      </c>
      <c r="F194" s="46">
        <v>7793</v>
      </c>
      <c r="G194" s="51">
        <v>8104</v>
      </c>
      <c r="H194" s="51">
        <v>8430</v>
      </c>
    </row>
    <row r="195" spans="1:8" ht="74.25" customHeight="1">
      <c r="A195" s="93" t="s">
        <v>565</v>
      </c>
      <c r="B195" s="193" t="s">
        <v>564</v>
      </c>
      <c r="C195" s="33" t="s">
        <v>238</v>
      </c>
      <c r="D195" s="33" t="s">
        <v>399</v>
      </c>
      <c r="E195" s="33" t="s">
        <v>219</v>
      </c>
      <c r="F195" s="46">
        <v>306</v>
      </c>
      <c r="G195" s="51">
        <v>318</v>
      </c>
      <c r="H195" s="51">
        <v>331</v>
      </c>
    </row>
    <row r="196" spans="1:8" ht="77.25" customHeight="1">
      <c r="A196" s="93" t="s">
        <v>565</v>
      </c>
      <c r="B196" s="193" t="s">
        <v>564</v>
      </c>
      <c r="C196" s="33" t="s">
        <v>355</v>
      </c>
      <c r="D196" s="33" t="s">
        <v>399</v>
      </c>
      <c r="E196" s="33" t="s">
        <v>219</v>
      </c>
      <c r="F196" s="46">
        <v>30546</v>
      </c>
      <c r="G196" s="51">
        <v>31768</v>
      </c>
      <c r="H196" s="51">
        <v>33038</v>
      </c>
    </row>
    <row r="197" spans="1:8" ht="75" customHeight="1">
      <c r="A197" s="93" t="s">
        <v>567</v>
      </c>
      <c r="B197" s="193" t="s">
        <v>566</v>
      </c>
      <c r="C197" s="33" t="s">
        <v>238</v>
      </c>
      <c r="D197" s="33" t="s">
        <v>399</v>
      </c>
      <c r="E197" s="33" t="s">
        <v>219</v>
      </c>
      <c r="F197" s="46">
        <v>204</v>
      </c>
      <c r="G197" s="51">
        <v>212</v>
      </c>
      <c r="H197" s="51">
        <v>220</v>
      </c>
    </row>
    <row r="198" spans="1:8" ht="75" customHeight="1">
      <c r="A198" s="93" t="s">
        <v>567</v>
      </c>
      <c r="B198" s="193" t="s">
        <v>566</v>
      </c>
      <c r="C198" s="33" t="s">
        <v>355</v>
      </c>
      <c r="D198" s="33" t="s">
        <v>399</v>
      </c>
      <c r="E198" s="33" t="s">
        <v>219</v>
      </c>
      <c r="F198" s="46">
        <v>20374</v>
      </c>
      <c r="G198" s="51">
        <v>21189</v>
      </c>
      <c r="H198" s="51">
        <v>22037</v>
      </c>
    </row>
    <row r="199" spans="1:8" ht="120" customHeight="1">
      <c r="A199" s="149" t="s">
        <v>569</v>
      </c>
      <c r="B199" s="199" t="s">
        <v>568</v>
      </c>
      <c r="C199" s="33" t="s">
        <v>238</v>
      </c>
      <c r="D199" s="33" t="s">
        <v>399</v>
      </c>
      <c r="E199" s="33" t="s">
        <v>219</v>
      </c>
      <c r="F199" s="46">
        <v>31</v>
      </c>
      <c r="G199" s="51">
        <v>33</v>
      </c>
      <c r="H199" s="51">
        <v>0</v>
      </c>
    </row>
    <row r="200" spans="1:8" ht="120" customHeight="1">
      <c r="A200" s="149" t="s">
        <v>569</v>
      </c>
      <c r="B200" s="193" t="s">
        <v>568</v>
      </c>
      <c r="C200" s="33" t="s">
        <v>355</v>
      </c>
      <c r="D200" s="33" t="s">
        <v>399</v>
      </c>
      <c r="E200" s="33" t="s">
        <v>219</v>
      </c>
      <c r="F200" s="46">
        <v>2545</v>
      </c>
      <c r="G200" s="51">
        <v>2671</v>
      </c>
      <c r="H200" s="51">
        <v>0</v>
      </c>
    </row>
    <row r="201" spans="1:8" ht="45" customHeight="1">
      <c r="A201" s="93" t="s">
        <v>570</v>
      </c>
      <c r="B201" s="186" t="s">
        <v>571</v>
      </c>
      <c r="C201" s="33"/>
      <c r="D201" s="30"/>
      <c r="E201" s="33"/>
      <c r="F201" s="55">
        <v>584981</v>
      </c>
      <c r="G201" s="55">
        <v>608585</v>
      </c>
      <c r="H201" s="55">
        <v>632372</v>
      </c>
    </row>
    <row r="202" spans="1:8" ht="54.75">
      <c r="A202" s="93" t="s">
        <v>577</v>
      </c>
      <c r="B202" s="187" t="s">
        <v>572</v>
      </c>
      <c r="C202" s="33" t="s">
        <v>238</v>
      </c>
      <c r="D202" s="33" t="s">
        <v>399</v>
      </c>
      <c r="E202" s="33" t="s">
        <v>219</v>
      </c>
      <c r="F202" s="46">
        <v>13</v>
      </c>
      <c r="G202" s="51">
        <v>13</v>
      </c>
      <c r="H202" s="51">
        <v>13</v>
      </c>
    </row>
    <row r="203" spans="1:8" ht="54.75">
      <c r="A203" s="93" t="s">
        <v>577</v>
      </c>
      <c r="B203" s="187" t="s">
        <v>572</v>
      </c>
      <c r="C203" s="33" t="s">
        <v>355</v>
      </c>
      <c r="D203" s="33" t="s">
        <v>399</v>
      </c>
      <c r="E203" s="33" t="s">
        <v>219</v>
      </c>
      <c r="F203" s="46">
        <v>777</v>
      </c>
      <c r="G203" s="51">
        <v>777</v>
      </c>
      <c r="H203" s="51">
        <v>777</v>
      </c>
    </row>
    <row r="204" spans="1:8" ht="30" customHeight="1">
      <c r="A204" s="93" t="s">
        <v>578</v>
      </c>
      <c r="B204" s="187" t="s">
        <v>573</v>
      </c>
      <c r="C204" s="33" t="s">
        <v>238</v>
      </c>
      <c r="D204" s="33" t="s">
        <v>399</v>
      </c>
      <c r="E204" s="33" t="s">
        <v>219</v>
      </c>
      <c r="F204" s="46">
        <v>10</v>
      </c>
      <c r="G204" s="51">
        <v>10</v>
      </c>
      <c r="H204" s="51">
        <v>10</v>
      </c>
    </row>
    <row r="205" spans="1:8" ht="30" customHeight="1">
      <c r="A205" s="93" t="s">
        <v>578</v>
      </c>
      <c r="B205" s="187" t="s">
        <v>573</v>
      </c>
      <c r="C205" s="33" t="s">
        <v>355</v>
      </c>
      <c r="D205" s="33" t="s">
        <v>399</v>
      </c>
      <c r="E205" s="33" t="s">
        <v>219</v>
      </c>
      <c r="F205" s="46">
        <v>1089</v>
      </c>
      <c r="G205" s="51">
        <v>1089</v>
      </c>
      <c r="H205" s="51">
        <v>1089</v>
      </c>
    </row>
    <row r="206" spans="1:8" ht="72.75" customHeight="1">
      <c r="A206" s="93" t="s">
        <v>579</v>
      </c>
      <c r="B206" s="187" t="s">
        <v>574</v>
      </c>
      <c r="C206" s="33" t="s">
        <v>238</v>
      </c>
      <c r="D206" s="33" t="s">
        <v>399</v>
      </c>
      <c r="E206" s="33" t="s">
        <v>219</v>
      </c>
      <c r="F206" s="46">
        <v>1</v>
      </c>
      <c r="G206" s="51">
        <v>1</v>
      </c>
      <c r="H206" s="51">
        <v>1</v>
      </c>
    </row>
    <row r="207" spans="1:8" ht="75.75" customHeight="1">
      <c r="A207" s="93" t="s">
        <v>579</v>
      </c>
      <c r="B207" s="187" t="s">
        <v>574</v>
      </c>
      <c r="C207" s="33" t="s">
        <v>355</v>
      </c>
      <c r="D207" s="33" t="s">
        <v>399</v>
      </c>
      <c r="E207" s="33" t="s">
        <v>219</v>
      </c>
      <c r="F207" s="46">
        <v>36</v>
      </c>
      <c r="G207" s="51">
        <v>36</v>
      </c>
      <c r="H207" s="51">
        <v>36</v>
      </c>
    </row>
    <row r="208" spans="1:8" ht="57.75" customHeight="1">
      <c r="A208" s="93" t="s">
        <v>576</v>
      </c>
      <c r="B208" s="187" t="s">
        <v>575</v>
      </c>
      <c r="C208" s="33" t="s">
        <v>238</v>
      </c>
      <c r="D208" s="33" t="s">
        <v>399</v>
      </c>
      <c r="E208" s="33" t="s">
        <v>219</v>
      </c>
      <c r="F208" s="46">
        <v>6</v>
      </c>
      <c r="G208" s="51">
        <v>6</v>
      </c>
      <c r="H208" s="51">
        <v>6</v>
      </c>
    </row>
    <row r="209" spans="1:8" ht="57.75" customHeight="1">
      <c r="A209" s="93" t="s">
        <v>576</v>
      </c>
      <c r="B209" s="187" t="s">
        <v>575</v>
      </c>
      <c r="C209" s="33" t="s">
        <v>355</v>
      </c>
      <c r="D209" s="33" t="s">
        <v>399</v>
      </c>
      <c r="E209" s="33" t="s">
        <v>219</v>
      </c>
      <c r="F209" s="46">
        <v>305</v>
      </c>
      <c r="G209" s="51">
        <v>305</v>
      </c>
      <c r="H209" s="51">
        <v>305</v>
      </c>
    </row>
    <row r="210" spans="1:8" ht="60" customHeight="1">
      <c r="A210" s="93" t="s">
        <v>581</v>
      </c>
      <c r="B210" s="187" t="s">
        <v>580</v>
      </c>
      <c r="C210" s="33" t="s">
        <v>238</v>
      </c>
      <c r="D210" s="33" t="s">
        <v>399</v>
      </c>
      <c r="E210" s="33" t="s">
        <v>219</v>
      </c>
      <c r="F210" s="46">
        <v>4</v>
      </c>
      <c r="G210" s="51">
        <v>4</v>
      </c>
      <c r="H210" s="51">
        <v>4</v>
      </c>
    </row>
    <row r="211" spans="1:8" ht="60" customHeight="1">
      <c r="A211" s="93" t="s">
        <v>581</v>
      </c>
      <c r="B211" s="187" t="s">
        <v>580</v>
      </c>
      <c r="C211" s="33" t="s">
        <v>355</v>
      </c>
      <c r="D211" s="33" t="s">
        <v>399</v>
      </c>
      <c r="E211" s="33" t="s">
        <v>219</v>
      </c>
      <c r="F211" s="46">
        <v>151</v>
      </c>
      <c r="G211" s="51">
        <v>151</v>
      </c>
      <c r="H211" s="51">
        <v>151</v>
      </c>
    </row>
    <row r="212" spans="1:8" ht="105" customHeight="1">
      <c r="A212" s="93" t="s">
        <v>583</v>
      </c>
      <c r="B212" s="187" t="s">
        <v>582</v>
      </c>
      <c r="C212" s="33" t="s">
        <v>238</v>
      </c>
      <c r="D212" s="33" t="s">
        <v>399</v>
      </c>
      <c r="E212" s="33" t="s">
        <v>219</v>
      </c>
      <c r="F212" s="46">
        <v>22</v>
      </c>
      <c r="G212" s="51">
        <v>22</v>
      </c>
      <c r="H212" s="51">
        <v>22</v>
      </c>
    </row>
    <row r="213" spans="1:8" ht="105" customHeight="1">
      <c r="A213" s="93" t="s">
        <v>583</v>
      </c>
      <c r="B213" s="187" t="s">
        <v>582</v>
      </c>
      <c r="C213" s="33" t="s">
        <v>355</v>
      </c>
      <c r="D213" s="33" t="s">
        <v>399</v>
      </c>
      <c r="E213" s="33" t="s">
        <v>219</v>
      </c>
      <c r="F213" s="46">
        <v>2878</v>
      </c>
      <c r="G213" s="51">
        <v>2878</v>
      </c>
      <c r="H213" s="51">
        <v>2878</v>
      </c>
    </row>
    <row r="214" spans="1:8" ht="44.25" customHeight="1">
      <c r="A214" s="93" t="s">
        <v>585</v>
      </c>
      <c r="B214" s="187" t="s">
        <v>584</v>
      </c>
      <c r="C214" s="33" t="s">
        <v>238</v>
      </c>
      <c r="D214" s="33" t="s">
        <v>399</v>
      </c>
      <c r="E214" s="33" t="s">
        <v>219</v>
      </c>
      <c r="F214" s="46">
        <v>18</v>
      </c>
      <c r="G214" s="51">
        <v>18</v>
      </c>
      <c r="H214" s="51">
        <v>18</v>
      </c>
    </row>
    <row r="215" spans="1:8" ht="45.75" customHeight="1">
      <c r="A215" s="93" t="s">
        <v>585</v>
      </c>
      <c r="B215" s="187" t="s">
        <v>584</v>
      </c>
      <c r="C215" s="33" t="s">
        <v>355</v>
      </c>
      <c r="D215" s="33" t="s">
        <v>399</v>
      </c>
      <c r="E215" s="33" t="s">
        <v>219</v>
      </c>
      <c r="F215" s="46">
        <v>1255</v>
      </c>
      <c r="G215" s="51">
        <v>1255</v>
      </c>
      <c r="H215" s="51">
        <v>1255</v>
      </c>
    </row>
    <row r="216" spans="1:8" ht="42.75" customHeight="1">
      <c r="A216" s="93" t="s">
        <v>587</v>
      </c>
      <c r="B216" s="187" t="s">
        <v>586</v>
      </c>
      <c r="C216" s="33" t="s">
        <v>238</v>
      </c>
      <c r="D216" s="33" t="s">
        <v>399</v>
      </c>
      <c r="E216" s="33" t="s">
        <v>219</v>
      </c>
      <c r="F216" s="46">
        <v>21</v>
      </c>
      <c r="G216" s="46">
        <v>21</v>
      </c>
      <c r="H216" s="46">
        <v>21</v>
      </c>
    </row>
    <row r="217" spans="1:8" ht="43.5" customHeight="1">
      <c r="A217" s="93" t="s">
        <v>587</v>
      </c>
      <c r="B217" s="187" t="s">
        <v>586</v>
      </c>
      <c r="C217" s="33" t="s">
        <v>355</v>
      </c>
      <c r="D217" s="33" t="s">
        <v>399</v>
      </c>
      <c r="E217" s="33" t="s">
        <v>219</v>
      </c>
      <c r="F217" s="46">
        <v>2479</v>
      </c>
      <c r="G217" s="51">
        <v>2479</v>
      </c>
      <c r="H217" s="51">
        <v>2479</v>
      </c>
    </row>
    <row r="218" spans="1:8" ht="105" customHeight="1">
      <c r="A218" s="93" t="s">
        <v>589</v>
      </c>
      <c r="B218" s="187" t="s">
        <v>588</v>
      </c>
      <c r="C218" s="33" t="s">
        <v>238</v>
      </c>
      <c r="D218" s="33" t="s">
        <v>399</v>
      </c>
      <c r="E218" s="33" t="s">
        <v>219</v>
      </c>
      <c r="F218" s="46">
        <v>1</v>
      </c>
      <c r="G218" s="46">
        <v>1</v>
      </c>
      <c r="H218" s="46">
        <v>1</v>
      </c>
    </row>
    <row r="219" spans="1:8" ht="105" customHeight="1">
      <c r="A219" s="93" t="s">
        <v>589</v>
      </c>
      <c r="B219" s="187" t="s">
        <v>588</v>
      </c>
      <c r="C219" s="33" t="s">
        <v>355</v>
      </c>
      <c r="D219" s="33" t="s">
        <v>399</v>
      </c>
      <c r="E219" s="33" t="s">
        <v>219</v>
      </c>
      <c r="F219" s="46">
        <v>25</v>
      </c>
      <c r="G219" s="51">
        <v>25</v>
      </c>
      <c r="H219" s="51">
        <v>25</v>
      </c>
    </row>
    <row r="220" spans="1:8" ht="30" customHeight="1">
      <c r="A220" s="93" t="s">
        <v>591</v>
      </c>
      <c r="B220" s="186" t="s">
        <v>590</v>
      </c>
      <c r="C220" s="33" t="s">
        <v>238</v>
      </c>
      <c r="D220" s="33" t="s">
        <v>399</v>
      </c>
      <c r="E220" s="33" t="s">
        <v>219</v>
      </c>
      <c r="F220" s="55">
        <v>50</v>
      </c>
      <c r="G220" s="56">
        <v>50</v>
      </c>
      <c r="H220" s="56">
        <v>50</v>
      </c>
    </row>
    <row r="221" spans="1:8" ht="30" customHeight="1">
      <c r="A221" s="93" t="s">
        <v>591</v>
      </c>
      <c r="B221" s="186" t="s">
        <v>590</v>
      </c>
      <c r="C221" s="125" t="s">
        <v>355</v>
      </c>
      <c r="D221" s="33" t="s">
        <v>399</v>
      </c>
      <c r="E221" s="33" t="s">
        <v>219</v>
      </c>
      <c r="F221" s="55">
        <v>6140</v>
      </c>
      <c r="G221" s="56">
        <v>6140</v>
      </c>
      <c r="H221" s="56">
        <v>6140</v>
      </c>
    </row>
    <row r="222" spans="1:8" ht="75" customHeight="1">
      <c r="A222" s="143" t="s">
        <v>593</v>
      </c>
      <c r="B222" s="193" t="s">
        <v>592</v>
      </c>
      <c r="C222" s="33" t="s">
        <v>238</v>
      </c>
      <c r="D222" s="33" t="s">
        <v>399</v>
      </c>
      <c r="E222" s="33" t="s">
        <v>219</v>
      </c>
      <c r="F222" s="46">
        <v>450</v>
      </c>
      <c r="G222" s="46">
        <v>450</v>
      </c>
      <c r="H222" s="46">
        <v>460</v>
      </c>
    </row>
    <row r="223" spans="1:8" ht="75" customHeight="1">
      <c r="A223" s="143" t="s">
        <v>593</v>
      </c>
      <c r="B223" s="193" t="s">
        <v>592</v>
      </c>
      <c r="C223" s="33" t="s">
        <v>355</v>
      </c>
      <c r="D223" s="33" t="s">
        <v>399</v>
      </c>
      <c r="E223" s="33" t="s">
        <v>219</v>
      </c>
      <c r="F223" s="46">
        <v>27321</v>
      </c>
      <c r="G223" s="46">
        <v>27736</v>
      </c>
      <c r="H223" s="46">
        <v>28853</v>
      </c>
    </row>
    <row r="224" spans="1:8" ht="75" customHeight="1">
      <c r="A224" s="93" t="s">
        <v>595</v>
      </c>
      <c r="B224" s="193" t="s">
        <v>594</v>
      </c>
      <c r="C224" s="33" t="s">
        <v>238</v>
      </c>
      <c r="D224" s="33" t="s">
        <v>399</v>
      </c>
      <c r="E224" s="33" t="s">
        <v>219</v>
      </c>
      <c r="F224" s="46">
        <v>420</v>
      </c>
      <c r="G224" s="51">
        <v>430</v>
      </c>
      <c r="H224" s="51">
        <v>450</v>
      </c>
    </row>
    <row r="225" spans="1:8" ht="75" customHeight="1">
      <c r="A225" s="93" t="s">
        <v>595</v>
      </c>
      <c r="B225" s="193" t="s">
        <v>594</v>
      </c>
      <c r="C225" s="33" t="s">
        <v>355</v>
      </c>
      <c r="D225" s="33" t="s">
        <v>399</v>
      </c>
      <c r="E225" s="33" t="s">
        <v>219</v>
      </c>
      <c r="F225" s="46">
        <v>39214</v>
      </c>
      <c r="G225" s="51">
        <v>40792</v>
      </c>
      <c r="H225" s="51">
        <v>42421</v>
      </c>
    </row>
    <row r="226" spans="1:8" ht="75" customHeight="1">
      <c r="A226" s="93" t="s">
        <v>597</v>
      </c>
      <c r="B226" s="193" t="s">
        <v>596</v>
      </c>
      <c r="C226" s="33" t="s">
        <v>355</v>
      </c>
      <c r="D226" s="33" t="s">
        <v>399</v>
      </c>
      <c r="E226" s="33" t="s">
        <v>240</v>
      </c>
      <c r="F226" s="46">
        <v>1043</v>
      </c>
      <c r="G226" s="51">
        <v>1085</v>
      </c>
      <c r="H226" s="51">
        <v>1128</v>
      </c>
    </row>
    <row r="227" spans="1:8" ht="129.75" customHeight="1">
      <c r="A227" s="93" t="s">
        <v>599</v>
      </c>
      <c r="B227" s="193" t="s">
        <v>598</v>
      </c>
      <c r="C227" s="33" t="s">
        <v>238</v>
      </c>
      <c r="D227" s="33" t="s">
        <v>399</v>
      </c>
      <c r="E227" s="33" t="s">
        <v>219</v>
      </c>
      <c r="F227" s="46">
        <v>1</v>
      </c>
      <c r="G227" s="51">
        <v>1</v>
      </c>
      <c r="H227" s="51">
        <v>1</v>
      </c>
    </row>
    <row r="228" spans="1:8" ht="169.5" customHeight="1">
      <c r="A228" s="93" t="s">
        <v>599</v>
      </c>
      <c r="B228" s="193" t="s">
        <v>598</v>
      </c>
      <c r="C228" s="33" t="s">
        <v>355</v>
      </c>
      <c r="D228" s="33" t="s">
        <v>399</v>
      </c>
      <c r="E228" s="33" t="s">
        <v>219</v>
      </c>
      <c r="F228" s="46">
        <v>70</v>
      </c>
      <c r="G228" s="51">
        <v>71</v>
      </c>
      <c r="H228" s="51">
        <v>74</v>
      </c>
    </row>
    <row r="229" spans="1:8" ht="195" customHeight="1">
      <c r="A229" s="150" t="s">
        <v>601</v>
      </c>
      <c r="B229" s="193" t="s">
        <v>600</v>
      </c>
      <c r="C229" s="33" t="s">
        <v>238</v>
      </c>
      <c r="D229" s="33" t="s">
        <v>399</v>
      </c>
      <c r="E229" s="33" t="s">
        <v>219</v>
      </c>
      <c r="F229" s="46">
        <v>10</v>
      </c>
      <c r="G229" s="51">
        <v>10</v>
      </c>
      <c r="H229" s="51">
        <v>20</v>
      </c>
    </row>
    <row r="230" spans="1:8" ht="195" customHeight="1">
      <c r="A230" s="150" t="s">
        <v>601</v>
      </c>
      <c r="B230" s="193" t="s">
        <v>600</v>
      </c>
      <c r="C230" s="33" t="s">
        <v>355</v>
      </c>
      <c r="D230" s="33" t="s">
        <v>399</v>
      </c>
      <c r="E230" s="33" t="s">
        <v>219</v>
      </c>
      <c r="F230" s="46">
        <v>86228</v>
      </c>
      <c r="G230" s="51">
        <v>89656</v>
      </c>
      <c r="H230" s="51">
        <v>93233</v>
      </c>
    </row>
    <row r="231" spans="1:8" ht="184.5" customHeight="1">
      <c r="A231" s="150" t="s">
        <v>99</v>
      </c>
      <c r="B231" s="193" t="s">
        <v>602</v>
      </c>
      <c r="C231" s="33" t="s">
        <v>238</v>
      </c>
      <c r="D231" s="33" t="s">
        <v>399</v>
      </c>
      <c r="E231" s="33" t="s">
        <v>219</v>
      </c>
      <c r="F231" s="46">
        <v>4</v>
      </c>
      <c r="G231" s="51">
        <v>4</v>
      </c>
      <c r="H231" s="51">
        <v>10</v>
      </c>
    </row>
    <row r="232" spans="1:8" ht="184.5" customHeight="1">
      <c r="A232" s="150" t="s">
        <v>99</v>
      </c>
      <c r="B232" s="193" t="s">
        <v>602</v>
      </c>
      <c r="C232" s="33" t="s">
        <v>355</v>
      </c>
      <c r="D232" s="33" t="s">
        <v>399</v>
      </c>
      <c r="E232" s="33" t="s">
        <v>219</v>
      </c>
      <c r="F232" s="46">
        <v>9486</v>
      </c>
      <c r="G232" s="51">
        <v>9860</v>
      </c>
      <c r="H232" s="51">
        <v>10250</v>
      </c>
    </row>
    <row r="233" spans="1:8" ht="120" customHeight="1">
      <c r="A233" s="93" t="s">
        <v>604</v>
      </c>
      <c r="B233" s="193" t="s">
        <v>603</v>
      </c>
      <c r="C233" s="33" t="s">
        <v>238</v>
      </c>
      <c r="D233" s="33" t="s">
        <v>399</v>
      </c>
      <c r="E233" s="33" t="s">
        <v>240</v>
      </c>
      <c r="F233" s="46">
        <v>0</v>
      </c>
      <c r="G233" s="51">
        <v>176</v>
      </c>
      <c r="H233" s="51">
        <v>0</v>
      </c>
    </row>
    <row r="234" spans="1:8" ht="114.75" customHeight="1">
      <c r="A234" s="93" t="s">
        <v>604</v>
      </c>
      <c r="B234" s="193" t="s">
        <v>603</v>
      </c>
      <c r="C234" s="33" t="s">
        <v>355</v>
      </c>
      <c r="D234" s="33" t="s">
        <v>399</v>
      </c>
      <c r="E234" s="33" t="s">
        <v>240</v>
      </c>
      <c r="F234" s="46">
        <v>468</v>
      </c>
      <c r="G234" s="51">
        <v>468</v>
      </c>
      <c r="H234" s="51">
        <v>670</v>
      </c>
    </row>
    <row r="235" spans="1:8" ht="75" customHeight="1">
      <c r="A235" s="93" t="s">
        <v>606</v>
      </c>
      <c r="B235" s="193" t="s">
        <v>605</v>
      </c>
      <c r="C235" s="33" t="s">
        <v>238</v>
      </c>
      <c r="D235" s="33" t="s">
        <v>399</v>
      </c>
      <c r="E235" s="33" t="s">
        <v>219</v>
      </c>
      <c r="F235" s="46">
        <v>44</v>
      </c>
      <c r="G235" s="51">
        <v>46</v>
      </c>
      <c r="H235" s="51">
        <v>50</v>
      </c>
    </row>
    <row r="236" spans="1:8" ht="75" customHeight="1">
      <c r="A236" s="93" t="s">
        <v>606</v>
      </c>
      <c r="B236" s="193" t="s">
        <v>605</v>
      </c>
      <c r="C236" s="33" t="s">
        <v>355</v>
      </c>
      <c r="D236" s="33" t="s">
        <v>399</v>
      </c>
      <c r="E236" s="33" t="s">
        <v>219</v>
      </c>
      <c r="F236" s="46">
        <v>5278</v>
      </c>
      <c r="G236" s="51">
        <v>5487</v>
      </c>
      <c r="H236" s="51">
        <v>5704</v>
      </c>
    </row>
    <row r="237" spans="1:8" ht="75" customHeight="1">
      <c r="A237" s="93" t="s">
        <v>608</v>
      </c>
      <c r="B237" s="193" t="s">
        <v>607</v>
      </c>
      <c r="C237" s="33" t="s">
        <v>238</v>
      </c>
      <c r="D237" s="33" t="s">
        <v>399</v>
      </c>
      <c r="E237" s="33" t="s">
        <v>219</v>
      </c>
      <c r="F237" s="46">
        <v>15</v>
      </c>
      <c r="G237" s="51">
        <v>15</v>
      </c>
      <c r="H237" s="51">
        <v>15</v>
      </c>
    </row>
    <row r="238" spans="1:8" ht="74.25" customHeight="1">
      <c r="A238" s="93" t="s">
        <v>608</v>
      </c>
      <c r="B238" s="193" t="s">
        <v>607</v>
      </c>
      <c r="C238" s="33" t="s">
        <v>355</v>
      </c>
      <c r="D238" s="33" t="s">
        <v>399</v>
      </c>
      <c r="E238" s="33" t="s">
        <v>219</v>
      </c>
      <c r="F238" s="46">
        <v>2315</v>
      </c>
      <c r="G238" s="51">
        <v>2481</v>
      </c>
      <c r="H238" s="51">
        <v>2581</v>
      </c>
    </row>
    <row r="239" spans="1:8" ht="60" customHeight="1">
      <c r="A239" s="93" t="s">
        <v>610</v>
      </c>
      <c r="B239" s="193" t="s">
        <v>609</v>
      </c>
      <c r="C239" s="33" t="s">
        <v>238</v>
      </c>
      <c r="D239" s="33" t="s">
        <v>399</v>
      </c>
      <c r="E239" s="33" t="s">
        <v>219</v>
      </c>
      <c r="F239" s="46">
        <v>10</v>
      </c>
      <c r="G239" s="51">
        <v>10</v>
      </c>
      <c r="H239" s="51">
        <v>10</v>
      </c>
    </row>
    <row r="240" spans="1:8" ht="60" customHeight="1">
      <c r="A240" s="93" t="s">
        <v>610</v>
      </c>
      <c r="B240" s="193" t="s">
        <v>609</v>
      </c>
      <c r="C240" s="33" t="s">
        <v>355</v>
      </c>
      <c r="D240" s="33" t="s">
        <v>399</v>
      </c>
      <c r="E240" s="33" t="s">
        <v>219</v>
      </c>
      <c r="F240" s="46">
        <v>1816</v>
      </c>
      <c r="G240" s="51">
        <v>1893</v>
      </c>
      <c r="H240" s="51">
        <v>1969</v>
      </c>
    </row>
    <row r="241" spans="1:8" ht="174.75" customHeight="1">
      <c r="A241" s="93" t="s">
        <v>787</v>
      </c>
      <c r="B241" s="193" t="s">
        <v>611</v>
      </c>
      <c r="C241" s="33" t="s">
        <v>238</v>
      </c>
      <c r="D241" s="33" t="s">
        <v>399</v>
      </c>
      <c r="E241" s="33" t="s">
        <v>219</v>
      </c>
      <c r="F241" s="46">
        <v>16</v>
      </c>
      <c r="G241" s="51">
        <v>17</v>
      </c>
      <c r="H241" s="51">
        <v>17</v>
      </c>
    </row>
    <row r="242" spans="1:8" ht="174.75" customHeight="1">
      <c r="A242" s="93" t="s">
        <v>787</v>
      </c>
      <c r="B242" s="193" t="s">
        <v>611</v>
      </c>
      <c r="C242" s="33" t="s">
        <v>355</v>
      </c>
      <c r="D242" s="33" t="s">
        <v>399</v>
      </c>
      <c r="E242" s="33" t="s">
        <v>219</v>
      </c>
      <c r="F242" s="46">
        <v>1604</v>
      </c>
      <c r="G242" s="51">
        <v>1664</v>
      </c>
      <c r="H242" s="51">
        <v>1731</v>
      </c>
    </row>
    <row r="243" spans="1:8" ht="60" customHeight="1">
      <c r="A243" s="93" t="s">
        <v>789</v>
      </c>
      <c r="B243" s="193" t="s">
        <v>788</v>
      </c>
      <c r="C243" s="33" t="s">
        <v>238</v>
      </c>
      <c r="D243" s="33" t="s">
        <v>399</v>
      </c>
      <c r="E243" s="33" t="s">
        <v>219</v>
      </c>
      <c r="F243" s="46">
        <v>1600</v>
      </c>
      <c r="G243" s="51">
        <v>1700</v>
      </c>
      <c r="H243" s="51">
        <v>1800</v>
      </c>
    </row>
    <row r="244" spans="1:8" ht="60" customHeight="1">
      <c r="A244" s="93" t="s">
        <v>789</v>
      </c>
      <c r="B244" s="193" t="s">
        <v>788</v>
      </c>
      <c r="C244" s="33" t="s">
        <v>355</v>
      </c>
      <c r="D244" s="33" t="s">
        <v>399</v>
      </c>
      <c r="E244" s="33" t="s">
        <v>219</v>
      </c>
      <c r="F244" s="46">
        <v>163398</v>
      </c>
      <c r="G244" s="51">
        <v>169623</v>
      </c>
      <c r="H244" s="51">
        <v>176376</v>
      </c>
    </row>
    <row r="245" spans="1:8" ht="45" customHeight="1">
      <c r="A245" s="93" t="s">
        <v>791</v>
      </c>
      <c r="B245" s="193" t="s">
        <v>790</v>
      </c>
      <c r="C245" s="33" t="s">
        <v>238</v>
      </c>
      <c r="D245" s="33" t="s">
        <v>399</v>
      </c>
      <c r="E245" s="33" t="s">
        <v>219</v>
      </c>
      <c r="F245" s="46">
        <v>7</v>
      </c>
      <c r="G245" s="51">
        <v>7</v>
      </c>
      <c r="H245" s="51">
        <v>10</v>
      </c>
    </row>
    <row r="246" spans="1:8" ht="45" customHeight="1">
      <c r="A246" s="93" t="s">
        <v>791</v>
      </c>
      <c r="B246" s="193" t="s">
        <v>790</v>
      </c>
      <c r="C246" s="33" t="s">
        <v>355</v>
      </c>
      <c r="D246" s="33" t="s">
        <v>399</v>
      </c>
      <c r="E246" s="33" t="s">
        <v>219</v>
      </c>
      <c r="F246" s="46">
        <v>617</v>
      </c>
      <c r="G246" s="51">
        <v>789</v>
      </c>
      <c r="H246" s="51">
        <v>818</v>
      </c>
    </row>
    <row r="247" spans="1:8" ht="45" customHeight="1">
      <c r="A247" s="93" t="s">
        <v>793</v>
      </c>
      <c r="B247" s="193" t="s">
        <v>792</v>
      </c>
      <c r="C247" s="33" t="s">
        <v>238</v>
      </c>
      <c r="D247" s="33" t="s">
        <v>399</v>
      </c>
      <c r="E247" s="33" t="s">
        <v>219</v>
      </c>
      <c r="F247" s="46">
        <v>16</v>
      </c>
      <c r="G247" s="51">
        <v>16</v>
      </c>
      <c r="H247" s="51">
        <v>17</v>
      </c>
    </row>
    <row r="248" spans="1:8" ht="45" customHeight="1">
      <c r="A248" s="93" t="s">
        <v>793</v>
      </c>
      <c r="B248" s="193" t="s">
        <v>792</v>
      </c>
      <c r="C248" s="33" t="s">
        <v>355</v>
      </c>
      <c r="D248" s="33" t="s">
        <v>399</v>
      </c>
      <c r="E248" s="33" t="s">
        <v>219</v>
      </c>
      <c r="F248" s="46">
        <v>1650</v>
      </c>
      <c r="G248" s="51">
        <v>1717</v>
      </c>
      <c r="H248" s="51">
        <v>1785</v>
      </c>
    </row>
    <row r="249" spans="1:8" ht="75" customHeight="1">
      <c r="A249" s="93" t="s">
        <v>795</v>
      </c>
      <c r="B249" s="193" t="s">
        <v>794</v>
      </c>
      <c r="C249" s="33" t="s">
        <v>238</v>
      </c>
      <c r="D249" s="33" t="s">
        <v>399</v>
      </c>
      <c r="E249" s="33" t="s">
        <v>219</v>
      </c>
      <c r="F249" s="46">
        <v>1</v>
      </c>
      <c r="G249" s="51">
        <v>1</v>
      </c>
      <c r="H249" s="51">
        <v>1</v>
      </c>
    </row>
    <row r="250" spans="1:8" ht="75" customHeight="1">
      <c r="A250" s="93" t="s">
        <v>795</v>
      </c>
      <c r="B250" s="193" t="s">
        <v>794</v>
      </c>
      <c r="C250" s="33" t="s">
        <v>355</v>
      </c>
      <c r="D250" s="33" t="s">
        <v>399</v>
      </c>
      <c r="E250" s="33" t="s">
        <v>219</v>
      </c>
      <c r="F250" s="46">
        <v>9</v>
      </c>
      <c r="G250" s="51">
        <v>10</v>
      </c>
      <c r="H250" s="51">
        <v>10</v>
      </c>
    </row>
    <row r="251" spans="1:8" ht="75" customHeight="1">
      <c r="A251" s="93" t="s">
        <v>797</v>
      </c>
      <c r="B251" s="193" t="s">
        <v>796</v>
      </c>
      <c r="C251" s="33" t="s">
        <v>238</v>
      </c>
      <c r="D251" s="33" t="s">
        <v>399</v>
      </c>
      <c r="E251" s="33" t="s">
        <v>219</v>
      </c>
      <c r="F251" s="46">
        <v>250</v>
      </c>
      <c r="G251" s="51">
        <v>250</v>
      </c>
      <c r="H251" s="51">
        <v>260</v>
      </c>
    </row>
    <row r="252" spans="1:8" ht="75" customHeight="1">
      <c r="A252" s="93" t="s">
        <v>797</v>
      </c>
      <c r="B252" s="193" t="s">
        <v>796</v>
      </c>
      <c r="C252" s="33" t="s">
        <v>355</v>
      </c>
      <c r="D252" s="33" t="s">
        <v>399</v>
      </c>
      <c r="E252" s="33" t="s">
        <v>219</v>
      </c>
      <c r="F252" s="46">
        <v>25933</v>
      </c>
      <c r="G252" s="51">
        <v>26455</v>
      </c>
      <c r="H252" s="51">
        <v>27513</v>
      </c>
    </row>
    <row r="253" spans="1:8" ht="45" customHeight="1">
      <c r="A253" s="93" t="s">
        <v>799</v>
      </c>
      <c r="B253" s="193" t="s">
        <v>798</v>
      </c>
      <c r="C253" s="33" t="s">
        <v>238</v>
      </c>
      <c r="D253" s="33" t="s">
        <v>399</v>
      </c>
      <c r="E253" s="33" t="s">
        <v>219</v>
      </c>
      <c r="F253" s="46">
        <v>25</v>
      </c>
      <c r="G253" s="51">
        <v>30</v>
      </c>
      <c r="H253" s="51">
        <v>40</v>
      </c>
    </row>
    <row r="254" spans="1:8" ht="45" customHeight="1">
      <c r="A254" s="93" t="s">
        <v>799</v>
      </c>
      <c r="B254" s="193" t="s">
        <v>798</v>
      </c>
      <c r="C254" s="33" t="s">
        <v>355</v>
      </c>
      <c r="D254" s="33" t="s">
        <v>399</v>
      </c>
      <c r="E254" s="33" t="s">
        <v>219</v>
      </c>
      <c r="F254" s="46">
        <v>1560</v>
      </c>
      <c r="G254" s="51">
        <v>1618</v>
      </c>
      <c r="H254" s="51">
        <v>1674</v>
      </c>
    </row>
    <row r="255" spans="1:8" ht="45" customHeight="1">
      <c r="A255" s="93" t="s">
        <v>801</v>
      </c>
      <c r="B255" s="193" t="s">
        <v>800</v>
      </c>
      <c r="C255" s="33" t="s">
        <v>238</v>
      </c>
      <c r="D255" s="33" t="s">
        <v>399</v>
      </c>
      <c r="E255" s="33" t="s">
        <v>219</v>
      </c>
      <c r="F255" s="46">
        <v>460</v>
      </c>
      <c r="G255" s="51">
        <v>450</v>
      </c>
      <c r="H255" s="51">
        <v>497</v>
      </c>
    </row>
    <row r="256" spans="1:8" ht="45" customHeight="1">
      <c r="A256" s="93" t="s">
        <v>801</v>
      </c>
      <c r="B256" s="193" t="s">
        <v>800</v>
      </c>
      <c r="C256" s="33" t="s">
        <v>355</v>
      </c>
      <c r="D256" s="33" t="s">
        <v>399</v>
      </c>
      <c r="E256" s="33" t="s">
        <v>219</v>
      </c>
      <c r="F256" s="46">
        <v>53438</v>
      </c>
      <c r="G256" s="51">
        <v>56601</v>
      </c>
      <c r="H256" s="51">
        <v>58837</v>
      </c>
    </row>
    <row r="257" spans="1:8" ht="60" customHeight="1">
      <c r="A257" s="93" t="s">
        <v>803</v>
      </c>
      <c r="B257" s="193" t="s">
        <v>802</v>
      </c>
      <c r="C257" s="33" t="s">
        <v>355</v>
      </c>
      <c r="D257" s="33" t="s">
        <v>399</v>
      </c>
      <c r="E257" s="33" t="s">
        <v>240</v>
      </c>
      <c r="F257" s="46">
        <v>25199</v>
      </c>
      <c r="G257" s="51">
        <v>23254</v>
      </c>
      <c r="H257" s="51">
        <v>24184</v>
      </c>
    </row>
    <row r="258" spans="1:8" ht="75" customHeight="1">
      <c r="A258" s="93" t="s">
        <v>805</v>
      </c>
      <c r="B258" s="193" t="s">
        <v>804</v>
      </c>
      <c r="C258" s="33" t="s">
        <v>355</v>
      </c>
      <c r="D258" s="33" t="s">
        <v>399</v>
      </c>
      <c r="E258" s="33" t="s">
        <v>240</v>
      </c>
      <c r="F258" s="46">
        <v>38729</v>
      </c>
      <c r="G258" s="51">
        <v>41344</v>
      </c>
      <c r="H258" s="51">
        <v>42997</v>
      </c>
    </row>
    <row r="259" spans="1:8" ht="45" customHeight="1">
      <c r="A259" s="93" t="s">
        <v>807</v>
      </c>
      <c r="B259" s="193" t="s">
        <v>806</v>
      </c>
      <c r="C259" s="33" t="s">
        <v>238</v>
      </c>
      <c r="D259" s="33" t="s">
        <v>399</v>
      </c>
      <c r="E259" s="33" t="s">
        <v>219</v>
      </c>
      <c r="F259" s="46">
        <v>2</v>
      </c>
      <c r="G259" s="51">
        <v>2</v>
      </c>
      <c r="H259" s="51">
        <v>4</v>
      </c>
    </row>
    <row r="260" spans="1:8" ht="45" customHeight="1">
      <c r="A260" s="93" t="s">
        <v>807</v>
      </c>
      <c r="B260" s="193" t="s">
        <v>806</v>
      </c>
      <c r="C260" s="33" t="s">
        <v>355</v>
      </c>
      <c r="D260" s="33" t="s">
        <v>399</v>
      </c>
      <c r="E260" s="33" t="s">
        <v>219</v>
      </c>
      <c r="F260" s="46">
        <v>346</v>
      </c>
      <c r="G260" s="51">
        <v>346</v>
      </c>
      <c r="H260" s="51">
        <v>412</v>
      </c>
    </row>
    <row r="261" spans="1:8" ht="105" customHeight="1">
      <c r="A261" s="93" t="s">
        <v>809</v>
      </c>
      <c r="B261" s="193" t="s">
        <v>808</v>
      </c>
      <c r="C261" s="33" t="s">
        <v>238</v>
      </c>
      <c r="D261" s="33" t="s">
        <v>399</v>
      </c>
      <c r="E261" s="33" t="s">
        <v>240</v>
      </c>
      <c r="F261" s="46">
        <v>52</v>
      </c>
      <c r="G261" s="51">
        <v>70</v>
      </c>
      <c r="H261" s="51">
        <v>70</v>
      </c>
    </row>
    <row r="262" spans="1:8" ht="105" customHeight="1">
      <c r="A262" s="93" t="s">
        <v>809</v>
      </c>
      <c r="B262" s="193" t="s">
        <v>808</v>
      </c>
      <c r="C262" s="33" t="s">
        <v>355</v>
      </c>
      <c r="D262" s="33" t="s">
        <v>399</v>
      </c>
      <c r="E262" s="33" t="s">
        <v>240</v>
      </c>
      <c r="F262" s="46">
        <v>14003</v>
      </c>
      <c r="G262" s="51">
        <v>17470</v>
      </c>
      <c r="H262" s="51">
        <v>18172</v>
      </c>
    </row>
    <row r="263" spans="1:8" ht="41.25" customHeight="1">
      <c r="A263" s="93" t="s">
        <v>0</v>
      </c>
      <c r="B263" s="193" t="s">
        <v>810</v>
      </c>
      <c r="C263" s="33" t="s">
        <v>355</v>
      </c>
      <c r="D263" s="33" t="s">
        <v>399</v>
      </c>
      <c r="E263" s="33" t="s">
        <v>219</v>
      </c>
      <c r="F263" s="46">
        <v>46</v>
      </c>
      <c r="G263" s="51">
        <v>46</v>
      </c>
      <c r="H263" s="51">
        <v>48</v>
      </c>
    </row>
    <row r="264" spans="1:8" ht="75" customHeight="1">
      <c r="A264" s="93" t="s">
        <v>2</v>
      </c>
      <c r="B264" s="193" t="s">
        <v>1</v>
      </c>
      <c r="C264" s="33" t="s">
        <v>355</v>
      </c>
      <c r="D264" s="33" t="s">
        <v>399</v>
      </c>
      <c r="E264" s="33" t="s">
        <v>240</v>
      </c>
      <c r="F264" s="46">
        <v>1320</v>
      </c>
      <c r="G264" s="51">
        <v>1320</v>
      </c>
      <c r="H264" s="51">
        <v>1373</v>
      </c>
    </row>
    <row r="265" spans="1:8" ht="90" customHeight="1">
      <c r="A265" s="149" t="s">
        <v>4</v>
      </c>
      <c r="B265" s="193" t="s">
        <v>3</v>
      </c>
      <c r="C265" s="33" t="s">
        <v>238</v>
      </c>
      <c r="D265" s="33" t="s">
        <v>399</v>
      </c>
      <c r="E265" s="33" t="s">
        <v>240</v>
      </c>
      <c r="F265" s="46">
        <v>1000</v>
      </c>
      <c r="G265" s="51">
        <v>1000</v>
      </c>
      <c r="H265" s="51">
        <v>1000</v>
      </c>
    </row>
    <row r="266" spans="1:8" ht="90" customHeight="1">
      <c r="A266" s="149" t="s">
        <v>4</v>
      </c>
      <c r="B266" s="193" t="s">
        <v>3</v>
      </c>
      <c r="C266" s="33" t="s">
        <v>355</v>
      </c>
      <c r="D266" s="33" t="s">
        <v>399</v>
      </c>
      <c r="E266" s="33" t="s">
        <v>240</v>
      </c>
      <c r="F266" s="46">
        <v>64226</v>
      </c>
      <c r="G266" s="51">
        <v>66833</v>
      </c>
      <c r="H266" s="51">
        <v>69546</v>
      </c>
    </row>
    <row r="267" spans="1:8" ht="90" customHeight="1">
      <c r="A267" s="93" t="s">
        <v>5</v>
      </c>
      <c r="B267" s="186" t="s">
        <v>6</v>
      </c>
      <c r="C267" s="33"/>
      <c r="D267" s="30"/>
      <c r="E267" s="31"/>
      <c r="F267" s="46">
        <v>22090</v>
      </c>
      <c r="G267" s="36">
        <v>22527</v>
      </c>
      <c r="H267" s="36">
        <v>22972</v>
      </c>
    </row>
    <row r="268" spans="1:8" ht="75" customHeight="1">
      <c r="A268" s="93" t="s">
        <v>8</v>
      </c>
      <c r="B268" s="187" t="s">
        <v>7</v>
      </c>
      <c r="C268" s="33" t="s">
        <v>238</v>
      </c>
      <c r="D268" s="33" t="s">
        <v>399</v>
      </c>
      <c r="E268" s="33" t="s">
        <v>218</v>
      </c>
      <c r="F268" s="46">
        <v>250</v>
      </c>
      <c r="G268" s="51">
        <v>250</v>
      </c>
      <c r="H268" s="51">
        <v>250</v>
      </c>
    </row>
    <row r="269" spans="1:8" ht="75" customHeight="1">
      <c r="A269" s="93" t="s">
        <v>8</v>
      </c>
      <c r="B269" s="187" t="s">
        <v>7</v>
      </c>
      <c r="C269" s="33" t="s">
        <v>355</v>
      </c>
      <c r="D269" s="33" t="s">
        <v>399</v>
      </c>
      <c r="E269" s="33" t="s">
        <v>218</v>
      </c>
      <c r="F269" s="46">
        <v>21840</v>
      </c>
      <c r="G269" s="51">
        <v>22277</v>
      </c>
      <c r="H269" s="51">
        <v>22722</v>
      </c>
    </row>
    <row r="270" spans="1:8" ht="135" customHeight="1">
      <c r="A270" s="93" t="s">
        <v>9</v>
      </c>
      <c r="B270" s="186" t="s">
        <v>10</v>
      </c>
      <c r="C270" s="33"/>
      <c r="D270" s="30"/>
      <c r="E270" s="31"/>
      <c r="F270" s="46">
        <v>73195</v>
      </c>
      <c r="G270" s="36">
        <v>73195</v>
      </c>
      <c r="H270" s="36">
        <v>75878</v>
      </c>
    </row>
    <row r="271" spans="1:8" ht="90" customHeight="1">
      <c r="A271" s="93" t="s">
        <v>12</v>
      </c>
      <c r="B271" s="187" t="s">
        <v>11</v>
      </c>
      <c r="C271" s="33" t="s">
        <v>274</v>
      </c>
      <c r="D271" s="33" t="s">
        <v>399</v>
      </c>
      <c r="E271" s="33" t="s">
        <v>219</v>
      </c>
      <c r="F271" s="46">
        <v>6115</v>
      </c>
      <c r="G271" s="46">
        <v>6115</v>
      </c>
      <c r="H271" s="46">
        <v>6115</v>
      </c>
    </row>
    <row r="272" spans="1:8" ht="124.5" customHeight="1">
      <c r="A272" s="93" t="s">
        <v>14</v>
      </c>
      <c r="B272" s="193" t="s">
        <v>13</v>
      </c>
      <c r="C272" s="33" t="s">
        <v>274</v>
      </c>
      <c r="D272" s="33" t="s">
        <v>399</v>
      </c>
      <c r="E272" s="33" t="s">
        <v>219</v>
      </c>
      <c r="F272" s="46">
        <v>67080</v>
      </c>
      <c r="G272" s="51">
        <v>67080</v>
      </c>
      <c r="H272" s="51">
        <v>69763</v>
      </c>
    </row>
    <row r="273" spans="1:8" ht="75" customHeight="1">
      <c r="A273" s="107" t="s">
        <v>324</v>
      </c>
      <c r="B273" s="199" t="s">
        <v>15</v>
      </c>
      <c r="C273" s="33"/>
      <c r="D273" s="30"/>
      <c r="E273" s="31"/>
      <c r="F273" s="46">
        <v>4039</v>
      </c>
      <c r="G273" s="36">
        <v>4124</v>
      </c>
      <c r="H273" s="36">
        <v>4294</v>
      </c>
    </row>
    <row r="274" spans="1:8" ht="60" customHeight="1">
      <c r="A274" s="146" t="s">
        <v>247</v>
      </c>
      <c r="B274" s="193" t="s">
        <v>16</v>
      </c>
      <c r="C274" s="33" t="s">
        <v>274</v>
      </c>
      <c r="D274" s="33" t="s">
        <v>399</v>
      </c>
      <c r="E274" s="33" t="s">
        <v>356</v>
      </c>
      <c r="F274" s="46">
        <v>4039</v>
      </c>
      <c r="G274" s="51">
        <v>4124</v>
      </c>
      <c r="H274" s="51">
        <v>4294</v>
      </c>
    </row>
    <row r="275" spans="1:8" ht="60" customHeight="1">
      <c r="A275" s="107" t="s">
        <v>17</v>
      </c>
      <c r="B275" s="199" t="s">
        <v>18</v>
      </c>
      <c r="C275" s="33"/>
      <c r="D275" s="30"/>
      <c r="E275" s="31"/>
      <c r="F275" s="46">
        <v>180904</v>
      </c>
      <c r="G275" s="36">
        <v>189613</v>
      </c>
      <c r="H275" s="36">
        <v>191878</v>
      </c>
    </row>
    <row r="276" spans="1:8" ht="60" customHeight="1">
      <c r="A276" s="93" t="s">
        <v>45</v>
      </c>
      <c r="B276" s="193" t="s">
        <v>19</v>
      </c>
      <c r="C276" s="33" t="s">
        <v>237</v>
      </c>
      <c r="D276" s="33" t="s">
        <v>399</v>
      </c>
      <c r="E276" s="33" t="s">
        <v>356</v>
      </c>
      <c r="F276" s="46">
        <v>4700</v>
      </c>
      <c r="G276" s="51">
        <v>4800</v>
      </c>
      <c r="H276" s="51">
        <v>5033</v>
      </c>
    </row>
    <row r="277" spans="1:8" ht="60" customHeight="1">
      <c r="A277" s="93" t="s">
        <v>45</v>
      </c>
      <c r="B277" s="193" t="s">
        <v>19</v>
      </c>
      <c r="C277" s="33" t="s">
        <v>238</v>
      </c>
      <c r="D277" s="33" t="s">
        <v>399</v>
      </c>
      <c r="E277" s="33" t="s">
        <v>356</v>
      </c>
      <c r="F277" s="46">
        <v>3137</v>
      </c>
      <c r="G277" s="46">
        <v>3321</v>
      </c>
      <c r="H277" s="46">
        <v>3099</v>
      </c>
    </row>
    <row r="278" spans="1:8" ht="60" customHeight="1">
      <c r="A278" s="93" t="s">
        <v>45</v>
      </c>
      <c r="B278" s="193" t="s">
        <v>19</v>
      </c>
      <c r="C278" s="33" t="s">
        <v>274</v>
      </c>
      <c r="D278" s="33" t="s">
        <v>399</v>
      </c>
      <c r="E278" s="33" t="s">
        <v>356</v>
      </c>
      <c r="F278" s="46">
        <v>173047</v>
      </c>
      <c r="G278" s="51">
        <v>181472</v>
      </c>
      <c r="H278" s="51">
        <v>183708</v>
      </c>
    </row>
    <row r="279" spans="1:8" ht="60" customHeight="1">
      <c r="A279" s="93" t="s">
        <v>45</v>
      </c>
      <c r="B279" s="193" t="s">
        <v>19</v>
      </c>
      <c r="C279" s="33" t="s">
        <v>239</v>
      </c>
      <c r="D279" s="33" t="s">
        <v>399</v>
      </c>
      <c r="E279" s="33" t="s">
        <v>356</v>
      </c>
      <c r="F279" s="46">
        <v>20</v>
      </c>
      <c r="G279" s="51">
        <v>20</v>
      </c>
      <c r="H279" s="51">
        <v>38</v>
      </c>
    </row>
    <row r="280" spans="1:8" ht="45" customHeight="1">
      <c r="A280" s="63" t="s">
        <v>361</v>
      </c>
      <c r="B280" s="199" t="s">
        <v>46</v>
      </c>
      <c r="C280" s="33"/>
      <c r="D280" s="30"/>
      <c r="E280" s="31"/>
      <c r="F280" s="46">
        <v>41</v>
      </c>
      <c r="G280" s="36">
        <v>41</v>
      </c>
      <c r="H280" s="36">
        <v>41</v>
      </c>
    </row>
    <row r="281" spans="1:8" ht="15" customHeight="1">
      <c r="A281" s="151" t="s">
        <v>362</v>
      </c>
      <c r="B281" s="193" t="s">
        <v>47</v>
      </c>
      <c r="C281" s="33" t="s">
        <v>238</v>
      </c>
      <c r="D281" s="33" t="s">
        <v>399</v>
      </c>
      <c r="E281" s="33" t="s">
        <v>219</v>
      </c>
      <c r="F281" s="46">
        <v>41</v>
      </c>
      <c r="G281" s="46">
        <v>41</v>
      </c>
      <c r="H281" s="46">
        <v>41</v>
      </c>
    </row>
    <row r="282" spans="1:8" ht="45" customHeight="1">
      <c r="A282" s="63" t="s">
        <v>298</v>
      </c>
      <c r="B282" s="199" t="s">
        <v>48</v>
      </c>
      <c r="C282" s="33"/>
      <c r="D282" s="30"/>
      <c r="E282" s="31"/>
      <c r="F282" s="46">
        <v>2527</v>
      </c>
      <c r="G282" s="36">
        <v>2527</v>
      </c>
      <c r="H282" s="36">
        <v>2527</v>
      </c>
    </row>
    <row r="283" spans="1:8" ht="30" customHeight="1">
      <c r="A283" s="93" t="s">
        <v>250</v>
      </c>
      <c r="B283" s="193" t="s">
        <v>49</v>
      </c>
      <c r="C283" s="33" t="s">
        <v>238</v>
      </c>
      <c r="D283" s="33" t="s">
        <v>399</v>
      </c>
      <c r="E283" s="33" t="s">
        <v>219</v>
      </c>
      <c r="F283" s="46">
        <v>21</v>
      </c>
      <c r="G283" s="46">
        <v>21</v>
      </c>
      <c r="H283" s="46">
        <v>21</v>
      </c>
    </row>
    <row r="284" spans="1:8" ht="30" customHeight="1">
      <c r="A284" s="93" t="s">
        <v>250</v>
      </c>
      <c r="B284" s="193" t="s">
        <v>49</v>
      </c>
      <c r="C284" s="33" t="s">
        <v>355</v>
      </c>
      <c r="D284" s="33" t="s">
        <v>399</v>
      </c>
      <c r="E284" s="33" t="s">
        <v>219</v>
      </c>
      <c r="F284" s="46">
        <v>297</v>
      </c>
      <c r="G284" s="46">
        <v>297</v>
      </c>
      <c r="H284" s="46">
        <v>297</v>
      </c>
    </row>
    <row r="285" spans="1:8" ht="30" customHeight="1">
      <c r="A285" s="93" t="s">
        <v>250</v>
      </c>
      <c r="B285" s="193" t="s">
        <v>49</v>
      </c>
      <c r="C285" s="33" t="s">
        <v>274</v>
      </c>
      <c r="D285" s="33" t="s">
        <v>399</v>
      </c>
      <c r="E285" s="33" t="s">
        <v>219</v>
      </c>
      <c r="F285" s="55">
        <v>2209</v>
      </c>
      <c r="G285" s="55">
        <v>2209</v>
      </c>
      <c r="H285" s="55">
        <v>2209</v>
      </c>
    </row>
    <row r="286" spans="1:8" ht="75" customHeight="1">
      <c r="A286" s="35" t="s">
        <v>52</v>
      </c>
      <c r="B286" s="203" t="s">
        <v>53</v>
      </c>
      <c r="C286" s="33"/>
      <c r="D286" s="30"/>
      <c r="E286" s="31"/>
      <c r="F286" s="46">
        <v>2651</v>
      </c>
      <c r="G286" s="36">
        <v>2651</v>
      </c>
      <c r="H286" s="36">
        <v>2651</v>
      </c>
    </row>
    <row r="287" spans="1:8" ht="75" customHeight="1">
      <c r="A287" s="35" t="s">
        <v>55</v>
      </c>
      <c r="B287" s="185" t="s">
        <v>54</v>
      </c>
      <c r="C287" s="33" t="s">
        <v>238</v>
      </c>
      <c r="D287" s="33" t="s">
        <v>399</v>
      </c>
      <c r="E287" s="33" t="s">
        <v>219</v>
      </c>
      <c r="F287" s="46">
        <v>600</v>
      </c>
      <c r="G287" s="51">
        <v>600</v>
      </c>
      <c r="H287" s="51">
        <v>600</v>
      </c>
    </row>
    <row r="288" spans="1:8" ht="75" customHeight="1">
      <c r="A288" s="35" t="s">
        <v>55</v>
      </c>
      <c r="B288" s="185" t="s">
        <v>54</v>
      </c>
      <c r="C288" s="33" t="s">
        <v>355</v>
      </c>
      <c r="D288" s="33" t="s">
        <v>399</v>
      </c>
      <c r="E288" s="33" t="s">
        <v>219</v>
      </c>
      <c r="F288" s="46">
        <v>926</v>
      </c>
      <c r="G288" s="51">
        <v>926</v>
      </c>
      <c r="H288" s="51">
        <v>926</v>
      </c>
    </row>
    <row r="289" spans="1:8" ht="75" customHeight="1">
      <c r="A289" s="35" t="s">
        <v>55</v>
      </c>
      <c r="B289" s="185" t="s">
        <v>54</v>
      </c>
      <c r="C289" s="33" t="s">
        <v>274</v>
      </c>
      <c r="D289" s="33" t="s">
        <v>399</v>
      </c>
      <c r="E289" s="33" t="s">
        <v>219</v>
      </c>
      <c r="F289" s="46">
        <v>1125</v>
      </c>
      <c r="G289" s="51">
        <v>1125</v>
      </c>
      <c r="H289" s="51">
        <v>1125</v>
      </c>
    </row>
    <row r="290" spans="1:8" ht="45" customHeight="1">
      <c r="A290" s="41" t="s">
        <v>56</v>
      </c>
      <c r="B290" s="198" t="s">
        <v>57</v>
      </c>
      <c r="C290" s="42"/>
      <c r="D290" s="124"/>
      <c r="E290" s="42"/>
      <c r="F290" s="43">
        <v>976</v>
      </c>
      <c r="G290" s="74">
        <v>976</v>
      </c>
      <c r="H290" s="74">
        <v>976</v>
      </c>
    </row>
    <row r="291" spans="1:8" ht="54.75">
      <c r="A291" s="93" t="s">
        <v>58</v>
      </c>
      <c r="B291" s="199" t="s">
        <v>59</v>
      </c>
      <c r="C291" s="33"/>
      <c r="D291" s="87"/>
      <c r="E291" s="31"/>
      <c r="F291" s="46">
        <v>976</v>
      </c>
      <c r="G291" s="36">
        <v>976</v>
      </c>
      <c r="H291" s="36">
        <v>976</v>
      </c>
    </row>
    <row r="292" spans="1:8" ht="60" customHeight="1">
      <c r="A292" s="93" t="s">
        <v>61</v>
      </c>
      <c r="B292" s="193" t="s">
        <v>60</v>
      </c>
      <c r="C292" s="33" t="s">
        <v>274</v>
      </c>
      <c r="D292" s="33" t="s">
        <v>399</v>
      </c>
      <c r="E292" s="33" t="s">
        <v>219</v>
      </c>
      <c r="F292" s="46">
        <v>976</v>
      </c>
      <c r="G292" s="51">
        <v>976</v>
      </c>
      <c r="H292" s="51">
        <v>976</v>
      </c>
    </row>
    <row r="293" spans="1:8" ht="45" customHeight="1">
      <c r="A293" s="106" t="s">
        <v>62</v>
      </c>
      <c r="B293" s="194" t="s">
        <v>63</v>
      </c>
      <c r="C293" s="42"/>
      <c r="D293" s="124"/>
      <c r="E293" s="42"/>
      <c r="F293" s="73">
        <v>375</v>
      </c>
      <c r="G293" s="74">
        <v>135</v>
      </c>
      <c r="H293" s="74">
        <v>135</v>
      </c>
    </row>
    <row r="294" spans="1:8" ht="45" customHeight="1">
      <c r="A294" s="107" t="s">
        <v>298</v>
      </c>
      <c r="B294" s="186" t="s">
        <v>64</v>
      </c>
      <c r="C294" s="33"/>
      <c r="D294" s="30"/>
      <c r="E294" s="31"/>
      <c r="F294" s="46">
        <v>375</v>
      </c>
      <c r="G294" s="64">
        <v>135</v>
      </c>
      <c r="H294" s="64">
        <v>135</v>
      </c>
    </row>
    <row r="295" spans="1:8" ht="30" customHeight="1">
      <c r="A295" s="93" t="s">
        <v>250</v>
      </c>
      <c r="B295" s="187" t="s">
        <v>65</v>
      </c>
      <c r="C295" s="33" t="s">
        <v>238</v>
      </c>
      <c r="D295" s="33" t="s">
        <v>399</v>
      </c>
      <c r="E295" s="33" t="s">
        <v>219</v>
      </c>
      <c r="F295" s="46">
        <v>375</v>
      </c>
      <c r="G295" s="51">
        <v>135</v>
      </c>
      <c r="H295" s="51">
        <v>135</v>
      </c>
    </row>
    <row r="296" spans="1:8" ht="45" customHeight="1">
      <c r="A296" s="152" t="s">
        <v>70</v>
      </c>
      <c r="B296" s="194" t="s">
        <v>72</v>
      </c>
      <c r="C296" s="42"/>
      <c r="D296" s="34"/>
      <c r="E296" s="90"/>
      <c r="F296" s="73">
        <v>27387</v>
      </c>
      <c r="G296" s="73">
        <v>27416</v>
      </c>
      <c r="H296" s="73">
        <v>27706</v>
      </c>
    </row>
    <row r="297" spans="1:8" ht="60" customHeight="1">
      <c r="A297" s="94" t="s">
        <v>73</v>
      </c>
      <c r="B297" s="199" t="s">
        <v>74</v>
      </c>
      <c r="C297" s="33"/>
      <c r="D297" s="30"/>
      <c r="E297" s="31"/>
      <c r="F297" s="46">
        <v>12733</v>
      </c>
      <c r="G297" s="64">
        <v>12733</v>
      </c>
      <c r="H297" s="64">
        <v>12859</v>
      </c>
    </row>
    <row r="298" spans="1:8" ht="60" customHeight="1">
      <c r="A298" s="93" t="s">
        <v>76</v>
      </c>
      <c r="B298" s="193" t="s">
        <v>75</v>
      </c>
      <c r="C298" s="33" t="s">
        <v>237</v>
      </c>
      <c r="D298" s="33" t="s">
        <v>399</v>
      </c>
      <c r="E298" s="33" t="s">
        <v>71</v>
      </c>
      <c r="F298" s="46">
        <v>12599</v>
      </c>
      <c r="G298" s="51">
        <v>12599</v>
      </c>
      <c r="H298" s="51">
        <v>12725</v>
      </c>
    </row>
    <row r="299" spans="1:8" ht="60" customHeight="1">
      <c r="A299" s="93" t="s">
        <v>76</v>
      </c>
      <c r="B299" s="193" t="s">
        <v>75</v>
      </c>
      <c r="C299" s="33" t="s">
        <v>238</v>
      </c>
      <c r="D299" s="33" t="s">
        <v>399</v>
      </c>
      <c r="E299" s="33" t="s">
        <v>71</v>
      </c>
      <c r="F299" s="46">
        <v>134</v>
      </c>
      <c r="G299" s="51">
        <v>134</v>
      </c>
      <c r="H299" s="51">
        <v>134</v>
      </c>
    </row>
    <row r="300" spans="1:8" ht="120" customHeight="1">
      <c r="A300" s="94" t="s">
        <v>77</v>
      </c>
      <c r="B300" s="186" t="s">
        <v>78</v>
      </c>
      <c r="C300" s="33"/>
      <c r="D300" s="30"/>
      <c r="E300" s="31"/>
      <c r="F300" s="46">
        <v>5679</v>
      </c>
      <c r="G300" s="64">
        <v>5679</v>
      </c>
      <c r="H300" s="64">
        <v>5735</v>
      </c>
    </row>
    <row r="301" spans="1:8" ht="120" customHeight="1">
      <c r="A301" s="93" t="s">
        <v>82</v>
      </c>
      <c r="B301" s="193" t="s">
        <v>81</v>
      </c>
      <c r="C301" s="33" t="s">
        <v>237</v>
      </c>
      <c r="D301" s="33" t="s">
        <v>399</v>
      </c>
      <c r="E301" s="33" t="s">
        <v>71</v>
      </c>
      <c r="F301" s="46">
        <v>5633</v>
      </c>
      <c r="G301" s="51">
        <v>5633</v>
      </c>
      <c r="H301" s="51">
        <v>5689</v>
      </c>
    </row>
    <row r="302" spans="1:8" ht="120" customHeight="1">
      <c r="A302" s="93" t="s">
        <v>82</v>
      </c>
      <c r="B302" s="193" t="s">
        <v>81</v>
      </c>
      <c r="C302" s="33" t="s">
        <v>238</v>
      </c>
      <c r="D302" s="33" t="s">
        <v>399</v>
      </c>
      <c r="E302" s="33" t="s">
        <v>71</v>
      </c>
      <c r="F302" s="46">
        <v>46</v>
      </c>
      <c r="G302" s="51">
        <v>46</v>
      </c>
      <c r="H302" s="51">
        <v>46</v>
      </c>
    </row>
    <row r="303" spans="1:8" ht="60" customHeight="1">
      <c r="A303" s="93" t="s">
        <v>83</v>
      </c>
      <c r="B303" s="199" t="s">
        <v>84</v>
      </c>
      <c r="C303" s="33"/>
      <c r="D303" s="30"/>
      <c r="E303" s="31"/>
      <c r="F303" s="46">
        <v>1186</v>
      </c>
      <c r="G303" s="64">
        <v>1186</v>
      </c>
      <c r="H303" s="64">
        <v>1196</v>
      </c>
    </row>
    <row r="304" spans="1:8" ht="75" customHeight="1">
      <c r="A304" s="93" t="s">
        <v>86</v>
      </c>
      <c r="B304" s="193" t="s">
        <v>85</v>
      </c>
      <c r="C304" s="33" t="s">
        <v>237</v>
      </c>
      <c r="D304" s="33" t="s">
        <v>399</v>
      </c>
      <c r="E304" s="33" t="s">
        <v>71</v>
      </c>
      <c r="F304" s="46">
        <v>1010</v>
      </c>
      <c r="G304" s="51">
        <v>1010</v>
      </c>
      <c r="H304" s="51">
        <v>1010</v>
      </c>
    </row>
    <row r="305" spans="1:8" ht="75" customHeight="1">
      <c r="A305" s="93" t="s">
        <v>86</v>
      </c>
      <c r="B305" s="193" t="s">
        <v>85</v>
      </c>
      <c r="C305" s="33" t="s">
        <v>238</v>
      </c>
      <c r="D305" s="33" t="s">
        <v>399</v>
      </c>
      <c r="E305" s="33" t="s">
        <v>71</v>
      </c>
      <c r="F305" s="46">
        <v>176</v>
      </c>
      <c r="G305" s="51">
        <v>176</v>
      </c>
      <c r="H305" s="51">
        <v>186</v>
      </c>
    </row>
    <row r="306" spans="1:8" ht="75" customHeight="1">
      <c r="A306" s="107" t="s">
        <v>87</v>
      </c>
      <c r="B306" s="199" t="s">
        <v>88</v>
      </c>
      <c r="C306" s="33"/>
      <c r="D306" s="30"/>
      <c r="E306" s="31"/>
      <c r="F306" s="46">
        <v>6909</v>
      </c>
      <c r="G306" s="64">
        <v>6909</v>
      </c>
      <c r="H306" s="64">
        <v>6970</v>
      </c>
    </row>
    <row r="307" spans="1:8" ht="75" customHeight="1">
      <c r="A307" s="94" t="s">
        <v>90</v>
      </c>
      <c r="B307" s="193" t="s">
        <v>89</v>
      </c>
      <c r="C307" s="33" t="s">
        <v>274</v>
      </c>
      <c r="D307" s="33" t="s">
        <v>399</v>
      </c>
      <c r="E307" s="33" t="s">
        <v>71</v>
      </c>
      <c r="F307" s="46">
        <v>6909</v>
      </c>
      <c r="G307" s="51">
        <v>6909</v>
      </c>
      <c r="H307" s="51">
        <v>6970</v>
      </c>
    </row>
    <row r="308" spans="1:8" ht="60" customHeight="1">
      <c r="A308" s="107" t="s">
        <v>91</v>
      </c>
      <c r="B308" s="199" t="s">
        <v>92</v>
      </c>
      <c r="C308" s="33"/>
      <c r="D308" s="30"/>
      <c r="E308" s="31"/>
      <c r="F308" s="46">
        <v>8</v>
      </c>
      <c r="G308" s="69">
        <v>8</v>
      </c>
      <c r="H308" s="69">
        <v>8</v>
      </c>
    </row>
    <row r="309" spans="1:8" ht="60" customHeight="1">
      <c r="A309" s="94" t="s">
        <v>112</v>
      </c>
      <c r="B309" s="193" t="s">
        <v>93</v>
      </c>
      <c r="C309" s="33" t="s">
        <v>274</v>
      </c>
      <c r="D309" s="33" t="s">
        <v>399</v>
      </c>
      <c r="E309" s="33" t="s">
        <v>71</v>
      </c>
      <c r="F309" s="46">
        <v>8</v>
      </c>
      <c r="G309" s="46">
        <v>8</v>
      </c>
      <c r="H309" s="46">
        <v>8</v>
      </c>
    </row>
    <row r="310" spans="1:8" ht="60" customHeight="1">
      <c r="A310" s="94" t="s">
        <v>434</v>
      </c>
      <c r="B310" s="193" t="s">
        <v>433</v>
      </c>
      <c r="C310" s="33"/>
      <c r="D310" s="33"/>
      <c r="E310" s="33"/>
      <c r="F310" s="46">
        <v>872</v>
      </c>
      <c r="G310" s="46">
        <v>901</v>
      </c>
      <c r="H310" s="46">
        <v>938</v>
      </c>
    </row>
    <row r="311" spans="1:8" ht="45" customHeight="1">
      <c r="A311" s="145" t="s">
        <v>33</v>
      </c>
      <c r="B311" s="201" t="s">
        <v>432</v>
      </c>
      <c r="C311" s="62" t="s">
        <v>237</v>
      </c>
      <c r="D311" s="62" t="s">
        <v>399</v>
      </c>
      <c r="E311" s="62" t="s">
        <v>71</v>
      </c>
      <c r="F311" s="46">
        <v>872</v>
      </c>
      <c r="G311" s="46">
        <v>901</v>
      </c>
      <c r="H311" s="46">
        <v>938</v>
      </c>
    </row>
    <row r="312" spans="1:8" ht="15" customHeight="1">
      <c r="A312" s="94"/>
      <c r="B312" s="193"/>
      <c r="C312" s="33"/>
      <c r="D312" s="33"/>
      <c r="E312" s="33"/>
      <c r="F312" s="46"/>
      <c r="G312" s="46"/>
      <c r="H312" s="46"/>
    </row>
    <row r="313" spans="1:8" ht="75" customHeight="1">
      <c r="A313" s="114" t="s">
        <v>113</v>
      </c>
      <c r="B313" s="198" t="s">
        <v>251</v>
      </c>
      <c r="C313" s="42"/>
      <c r="D313" s="34"/>
      <c r="E313" s="42"/>
      <c r="F313" s="73">
        <v>456722</v>
      </c>
      <c r="G313" s="74">
        <v>469804</v>
      </c>
      <c r="H313" s="74">
        <v>486310</v>
      </c>
    </row>
    <row r="314" spans="1:8" ht="45" customHeight="1">
      <c r="A314" s="41" t="s">
        <v>114</v>
      </c>
      <c r="B314" s="194" t="s">
        <v>115</v>
      </c>
      <c r="C314" s="42"/>
      <c r="D314" s="34"/>
      <c r="E314" s="42"/>
      <c r="F314" s="73">
        <v>56441</v>
      </c>
      <c r="G314" s="95">
        <v>59266</v>
      </c>
      <c r="H314" s="95">
        <v>62168</v>
      </c>
    </row>
    <row r="315" spans="1:8" ht="75" customHeight="1">
      <c r="A315" s="93" t="s">
        <v>504</v>
      </c>
      <c r="B315" s="186" t="s">
        <v>116</v>
      </c>
      <c r="C315" s="33"/>
      <c r="D315" s="30"/>
      <c r="E315" s="31"/>
      <c r="F315" s="46">
        <v>53631</v>
      </c>
      <c r="G315" s="64">
        <v>56513</v>
      </c>
      <c r="H315" s="64">
        <v>59568</v>
      </c>
    </row>
    <row r="316" spans="1:8" ht="60" customHeight="1">
      <c r="A316" s="93" t="s">
        <v>466</v>
      </c>
      <c r="B316" s="196" t="s">
        <v>117</v>
      </c>
      <c r="C316" s="33" t="s">
        <v>274</v>
      </c>
      <c r="D316" s="33" t="s">
        <v>251</v>
      </c>
      <c r="E316" s="33" t="s">
        <v>218</v>
      </c>
      <c r="F316" s="46">
        <v>45980</v>
      </c>
      <c r="G316" s="46">
        <v>48862</v>
      </c>
      <c r="H316" s="46">
        <v>51917</v>
      </c>
    </row>
    <row r="317" spans="1:8" ht="120" customHeight="1">
      <c r="A317" s="217" t="s">
        <v>300</v>
      </c>
      <c r="B317" s="218" t="s">
        <v>301</v>
      </c>
      <c r="C317" s="166" t="s">
        <v>274</v>
      </c>
      <c r="D317" s="166" t="s">
        <v>251</v>
      </c>
      <c r="E317" s="166" t="s">
        <v>218</v>
      </c>
      <c r="F317" s="167">
        <v>7651</v>
      </c>
      <c r="G317" s="167">
        <v>7651</v>
      </c>
      <c r="H317" s="167">
        <v>7651</v>
      </c>
    </row>
    <row r="318" spans="1:8" ht="75" customHeight="1">
      <c r="A318" s="63" t="s">
        <v>120</v>
      </c>
      <c r="B318" s="186" t="s">
        <v>121</v>
      </c>
      <c r="C318" s="33"/>
      <c r="D318" s="30"/>
      <c r="E318" s="31"/>
      <c r="F318" s="46">
        <v>1753</v>
      </c>
      <c r="G318" s="64">
        <v>1753</v>
      </c>
      <c r="H318" s="64">
        <v>1600</v>
      </c>
    </row>
    <row r="319" spans="1:8" ht="41.25">
      <c r="A319" s="284" t="s">
        <v>435</v>
      </c>
      <c r="B319" s="204" t="s">
        <v>436</v>
      </c>
      <c r="C319" s="62" t="s">
        <v>274</v>
      </c>
      <c r="D319" s="33" t="s">
        <v>251</v>
      </c>
      <c r="E319" s="33" t="s">
        <v>218</v>
      </c>
      <c r="F319" s="46">
        <v>1600</v>
      </c>
      <c r="G319" s="46">
        <v>1600</v>
      </c>
      <c r="H319" s="46">
        <v>1600</v>
      </c>
    </row>
    <row r="320" spans="1:8" ht="60" customHeight="1">
      <c r="A320" s="63" t="s">
        <v>129</v>
      </c>
      <c r="B320" s="193" t="s">
        <v>128</v>
      </c>
      <c r="C320" s="33" t="s">
        <v>274</v>
      </c>
      <c r="D320" s="33" t="s">
        <v>251</v>
      </c>
      <c r="E320" s="33" t="s">
        <v>218</v>
      </c>
      <c r="F320" s="46">
        <v>153</v>
      </c>
      <c r="G320" s="46">
        <v>153</v>
      </c>
      <c r="H320" s="46">
        <v>0</v>
      </c>
    </row>
    <row r="321" spans="1:8" ht="75" customHeight="1">
      <c r="A321" s="63" t="s">
        <v>130</v>
      </c>
      <c r="B321" s="186" t="s">
        <v>131</v>
      </c>
      <c r="C321" s="33"/>
      <c r="D321" s="30"/>
      <c r="E321" s="31"/>
      <c r="F321" s="46">
        <v>1057</v>
      </c>
      <c r="G321" s="36">
        <v>1000</v>
      </c>
      <c r="H321" s="36">
        <v>1000</v>
      </c>
    </row>
    <row r="322" spans="1:8" ht="75" customHeight="1">
      <c r="A322" s="93" t="s">
        <v>133</v>
      </c>
      <c r="B322" s="193" t="s">
        <v>132</v>
      </c>
      <c r="C322" s="33" t="s">
        <v>274</v>
      </c>
      <c r="D322" s="33" t="s">
        <v>251</v>
      </c>
      <c r="E322" s="33" t="s">
        <v>218</v>
      </c>
      <c r="F322" s="46">
        <v>1057</v>
      </c>
      <c r="G322" s="46">
        <v>1000</v>
      </c>
      <c r="H322" s="46">
        <v>1000</v>
      </c>
    </row>
    <row r="323" spans="1:8" ht="60" customHeight="1">
      <c r="A323" s="106" t="s">
        <v>134</v>
      </c>
      <c r="B323" s="194" t="s">
        <v>135</v>
      </c>
      <c r="C323" s="42"/>
      <c r="D323" s="34"/>
      <c r="E323" s="42"/>
      <c r="F323" s="73">
        <v>87272</v>
      </c>
      <c r="G323" s="43">
        <v>90431</v>
      </c>
      <c r="H323" s="43">
        <v>94840</v>
      </c>
    </row>
    <row r="324" spans="1:8" ht="75" customHeight="1">
      <c r="A324" s="54" t="s">
        <v>136</v>
      </c>
      <c r="B324" s="196" t="s">
        <v>137</v>
      </c>
      <c r="C324" s="33"/>
      <c r="D324" s="30"/>
      <c r="E324" s="31"/>
      <c r="F324" s="46">
        <v>77136</v>
      </c>
      <c r="G324" s="36">
        <v>81295</v>
      </c>
      <c r="H324" s="36">
        <v>85704</v>
      </c>
    </row>
    <row r="325" spans="1:8" ht="60" customHeight="1">
      <c r="A325" s="151" t="s">
        <v>466</v>
      </c>
      <c r="B325" s="193" t="s">
        <v>138</v>
      </c>
      <c r="C325" s="33" t="s">
        <v>274</v>
      </c>
      <c r="D325" s="33" t="s">
        <v>251</v>
      </c>
      <c r="E325" s="33" t="s">
        <v>218</v>
      </c>
      <c r="F325" s="46">
        <v>77136</v>
      </c>
      <c r="G325" s="68">
        <v>81295</v>
      </c>
      <c r="H325" s="46">
        <v>85704</v>
      </c>
    </row>
    <row r="326" spans="1:8" ht="45" customHeight="1">
      <c r="A326" s="63" t="s">
        <v>361</v>
      </c>
      <c r="B326" s="199" t="s">
        <v>140</v>
      </c>
      <c r="C326" s="33"/>
      <c r="D326" s="30"/>
      <c r="E326" s="31"/>
      <c r="F326" s="46">
        <v>6730</v>
      </c>
      <c r="G326" s="36">
        <v>6730</v>
      </c>
      <c r="H326" s="36">
        <v>6730</v>
      </c>
    </row>
    <row r="327" spans="1:8" ht="15" customHeight="1">
      <c r="A327" s="151" t="s">
        <v>142</v>
      </c>
      <c r="B327" s="193" t="s">
        <v>141</v>
      </c>
      <c r="C327" s="33" t="s">
        <v>238</v>
      </c>
      <c r="D327" s="33" t="s">
        <v>251</v>
      </c>
      <c r="E327" s="33" t="s">
        <v>218</v>
      </c>
      <c r="F327" s="46">
        <v>2157</v>
      </c>
      <c r="G327" s="46">
        <v>2157</v>
      </c>
      <c r="H327" s="46">
        <v>2157</v>
      </c>
    </row>
    <row r="328" spans="1:8" ht="15" customHeight="1">
      <c r="A328" s="151" t="s">
        <v>142</v>
      </c>
      <c r="B328" s="193" t="s">
        <v>141</v>
      </c>
      <c r="C328" s="33" t="s">
        <v>274</v>
      </c>
      <c r="D328" s="33" t="s">
        <v>251</v>
      </c>
      <c r="E328" s="33" t="s">
        <v>218</v>
      </c>
      <c r="F328" s="46">
        <v>4573</v>
      </c>
      <c r="G328" s="46">
        <v>4573</v>
      </c>
      <c r="H328" s="46">
        <v>4573</v>
      </c>
    </row>
    <row r="329" spans="1:8" ht="90" customHeight="1">
      <c r="A329" s="54" t="s">
        <v>143</v>
      </c>
      <c r="B329" s="186" t="s">
        <v>144</v>
      </c>
      <c r="C329" s="33"/>
      <c r="D329" s="30"/>
      <c r="E329" s="31"/>
      <c r="F329" s="46">
        <v>3406</v>
      </c>
      <c r="G329" s="64">
        <v>2406</v>
      </c>
      <c r="H329" s="64">
        <v>2406</v>
      </c>
    </row>
    <row r="330" spans="1:8" ht="75" customHeight="1">
      <c r="A330" s="145" t="s">
        <v>146</v>
      </c>
      <c r="B330" s="201" t="s">
        <v>145</v>
      </c>
      <c r="C330" s="62" t="s">
        <v>274</v>
      </c>
      <c r="D330" s="33" t="s">
        <v>251</v>
      </c>
      <c r="E330" s="33" t="s">
        <v>218</v>
      </c>
      <c r="F330" s="46">
        <v>3406</v>
      </c>
      <c r="G330" s="46">
        <v>2406</v>
      </c>
      <c r="H330" s="46">
        <v>2406</v>
      </c>
    </row>
    <row r="331" spans="1:8" ht="45" customHeight="1">
      <c r="A331" s="114" t="s">
        <v>148</v>
      </c>
      <c r="B331" s="198" t="s">
        <v>149</v>
      </c>
      <c r="C331" s="42"/>
      <c r="D331" s="34"/>
      <c r="E331" s="42"/>
      <c r="F331" s="73">
        <v>261050</v>
      </c>
      <c r="G331" s="74">
        <v>265854</v>
      </c>
      <c r="H331" s="74">
        <v>273022</v>
      </c>
    </row>
    <row r="332" spans="1:8" ht="75" customHeight="1">
      <c r="A332" s="93" t="s">
        <v>504</v>
      </c>
      <c r="B332" s="186" t="s">
        <v>150</v>
      </c>
      <c r="C332" s="33"/>
      <c r="D332" s="30"/>
      <c r="E332" s="31"/>
      <c r="F332" s="46">
        <v>260204</v>
      </c>
      <c r="G332" s="64">
        <v>265008</v>
      </c>
      <c r="H332" s="64">
        <v>272176</v>
      </c>
    </row>
    <row r="333" spans="1:8" ht="60" customHeight="1">
      <c r="A333" s="93" t="s">
        <v>466</v>
      </c>
      <c r="B333" s="193" t="s">
        <v>151</v>
      </c>
      <c r="C333" s="33" t="s">
        <v>274</v>
      </c>
      <c r="D333" s="33" t="s">
        <v>241</v>
      </c>
      <c r="E333" s="33" t="s">
        <v>219</v>
      </c>
      <c r="F333" s="46">
        <v>260204</v>
      </c>
      <c r="G333" s="46">
        <v>265008</v>
      </c>
      <c r="H333" s="46">
        <v>272176</v>
      </c>
    </row>
    <row r="334" spans="1:8" ht="30" customHeight="1">
      <c r="A334" s="63" t="s">
        <v>152</v>
      </c>
      <c r="B334" s="199" t="s">
        <v>153</v>
      </c>
      <c r="C334" s="33"/>
      <c r="D334" s="30"/>
      <c r="E334" s="31"/>
      <c r="F334" s="46">
        <v>846</v>
      </c>
      <c r="G334" s="64">
        <v>846</v>
      </c>
      <c r="H334" s="64">
        <v>846</v>
      </c>
    </row>
    <row r="335" spans="1:8" ht="30" customHeight="1">
      <c r="A335" s="93" t="s">
        <v>155</v>
      </c>
      <c r="B335" s="193" t="s">
        <v>154</v>
      </c>
      <c r="C335" s="33" t="s">
        <v>274</v>
      </c>
      <c r="D335" s="33" t="s">
        <v>241</v>
      </c>
      <c r="E335" s="33" t="s">
        <v>219</v>
      </c>
      <c r="F335" s="46">
        <v>846</v>
      </c>
      <c r="G335" s="46">
        <v>846</v>
      </c>
      <c r="H335" s="46">
        <v>846</v>
      </c>
    </row>
    <row r="336" spans="1:8" ht="45" customHeight="1">
      <c r="A336" s="41" t="s">
        <v>156</v>
      </c>
      <c r="B336" s="205" t="s">
        <v>157</v>
      </c>
      <c r="C336" s="42"/>
      <c r="D336" s="124"/>
      <c r="E336" s="42"/>
      <c r="F336" s="73">
        <v>11562</v>
      </c>
      <c r="G336" s="74">
        <v>12166</v>
      </c>
      <c r="H336" s="74">
        <v>12716</v>
      </c>
    </row>
    <row r="337" spans="1:8" ht="90" customHeight="1">
      <c r="A337" s="63" t="s">
        <v>158</v>
      </c>
      <c r="B337" s="199" t="s">
        <v>159</v>
      </c>
      <c r="C337" s="33"/>
      <c r="D337" s="87"/>
      <c r="E337" s="31"/>
      <c r="F337" s="46">
        <v>60</v>
      </c>
      <c r="G337" s="69">
        <v>60</v>
      </c>
      <c r="H337" s="69">
        <v>60</v>
      </c>
    </row>
    <row r="338" spans="1:8" ht="75" customHeight="1">
      <c r="A338" s="93" t="s">
        <v>162</v>
      </c>
      <c r="B338" s="193" t="s">
        <v>160</v>
      </c>
      <c r="C338" s="33" t="s">
        <v>238</v>
      </c>
      <c r="D338" s="33" t="s">
        <v>251</v>
      </c>
      <c r="E338" s="33" t="s">
        <v>218</v>
      </c>
      <c r="F338" s="46">
        <v>60</v>
      </c>
      <c r="G338" s="46">
        <v>60</v>
      </c>
      <c r="H338" s="46">
        <v>60</v>
      </c>
    </row>
    <row r="339" spans="1:8" ht="60" customHeight="1">
      <c r="A339" s="54" t="s">
        <v>161</v>
      </c>
      <c r="B339" s="199" t="s">
        <v>163</v>
      </c>
      <c r="C339" s="33"/>
      <c r="D339" s="30"/>
      <c r="E339" s="31"/>
      <c r="F339" s="46">
        <v>54</v>
      </c>
      <c r="G339" s="64">
        <v>54</v>
      </c>
      <c r="H339" s="64">
        <v>54</v>
      </c>
    </row>
    <row r="340" spans="1:8" ht="45" customHeight="1">
      <c r="A340" s="93" t="s">
        <v>165</v>
      </c>
      <c r="B340" s="193" t="s">
        <v>164</v>
      </c>
      <c r="C340" s="33" t="s">
        <v>238</v>
      </c>
      <c r="D340" s="33" t="s">
        <v>251</v>
      </c>
      <c r="E340" s="33" t="s">
        <v>218</v>
      </c>
      <c r="F340" s="46">
        <v>54</v>
      </c>
      <c r="G340" s="51">
        <v>54</v>
      </c>
      <c r="H340" s="51">
        <v>54</v>
      </c>
    </row>
    <row r="341" spans="1:8" ht="75" customHeight="1">
      <c r="A341" s="93" t="s">
        <v>249</v>
      </c>
      <c r="B341" s="196" t="s">
        <v>166</v>
      </c>
      <c r="C341" s="33"/>
      <c r="D341" s="30"/>
      <c r="E341" s="85"/>
      <c r="F341" s="46">
        <v>11448</v>
      </c>
      <c r="G341" s="69">
        <v>12052</v>
      </c>
      <c r="H341" s="69">
        <v>12602</v>
      </c>
    </row>
    <row r="342" spans="1:8" ht="60" customHeight="1">
      <c r="A342" s="94" t="s">
        <v>247</v>
      </c>
      <c r="B342" s="197" t="s">
        <v>167</v>
      </c>
      <c r="C342" s="33" t="s">
        <v>274</v>
      </c>
      <c r="D342" s="33" t="s">
        <v>251</v>
      </c>
      <c r="E342" s="33" t="s">
        <v>218</v>
      </c>
      <c r="F342" s="46">
        <v>11448</v>
      </c>
      <c r="G342" s="46">
        <v>12052</v>
      </c>
      <c r="H342" s="46">
        <v>12602</v>
      </c>
    </row>
    <row r="343" spans="1:8" ht="45" customHeight="1">
      <c r="A343" s="41" t="s">
        <v>169</v>
      </c>
      <c r="B343" s="198" t="s">
        <v>170</v>
      </c>
      <c r="C343" s="42"/>
      <c r="D343" s="34"/>
      <c r="E343" s="42"/>
      <c r="F343" s="73">
        <v>40397</v>
      </c>
      <c r="G343" s="74">
        <v>42087</v>
      </c>
      <c r="H343" s="74">
        <v>43564</v>
      </c>
    </row>
    <row r="344" spans="1:8" ht="60" customHeight="1">
      <c r="A344" s="93" t="s">
        <v>413</v>
      </c>
      <c r="B344" s="199" t="s">
        <v>171</v>
      </c>
      <c r="C344" s="33"/>
      <c r="D344" s="30"/>
      <c r="E344" s="31"/>
      <c r="F344" s="46">
        <v>5163</v>
      </c>
      <c r="G344" s="64">
        <v>5384</v>
      </c>
      <c r="H344" s="64">
        <v>5578</v>
      </c>
    </row>
    <row r="345" spans="1:8" ht="45" customHeight="1">
      <c r="A345" s="154" t="s">
        <v>416</v>
      </c>
      <c r="B345" s="187" t="s">
        <v>172</v>
      </c>
      <c r="C345" s="33" t="s">
        <v>237</v>
      </c>
      <c r="D345" s="33" t="s">
        <v>251</v>
      </c>
      <c r="E345" s="33" t="s">
        <v>240</v>
      </c>
      <c r="F345" s="46">
        <v>5162</v>
      </c>
      <c r="G345" s="51">
        <v>5383</v>
      </c>
      <c r="H345" s="51">
        <v>5577</v>
      </c>
    </row>
    <row r="346" spans="1:8" ht="45" customHeight="1">
      <c r="A346" s="154" t="s">
        <v>416</v>
      </c>
      <c r="B346" s="187" t="s">
        <v>172</v>
      </c>
      <c r="C346" s="33" t="s">
        <v>238</v>
      </c>
      <c r="D346" s="33" t="s">
        <v>251</v>
      </c>
      <c r="E346" s="33" t="s">
        <v>240</v>
      </c>
      <c r="F346" s="46">
        <v>1</v>
      </c>
      <c r="G346" s="51">
        <v>1</v>
      </c>
      <c r="H346" s="51">
        <v>1</v>
      </c>
    </row>
    <row r="347" spans="1:8" ht="75" customHeight="1">
      <c r="A347" s="54" t="s">
        <v>504</v>
      </c>
      <c r="B347" s="186" t="s">
        <v>173</v>
      </c>
      <c r="C347" s="33"/>
      <c r="D347" s="30"/>
      <c r="E347" s="31"/>
      <c r="F347" s="46">
        <v>35234</v>
      </c>
      <c r="G347" s="69">
        <v>36703</v>
      </c>
      <c r="H347" s="69">
        <v>37986</v>
      </c>
    </row>
    <row r="348" spans="1:8" ht="60" customHeight="1">
      <c r="A348" s="154" t="s">
        <v>247</v>
      </c>
      <c r="B348" s="187" t="s">
        <v>174</v>
      </c>
      <c r="C348" s="33" t="s">
        <v>237</v>
      </c>
      <c r="D348" s="33" t="s">
        <v>251</v>
      </c>
      <c r="E348" s="33" t="s">
        <v>240</v>
      </c>
      <c r="F348" s="46">
        <v>34163</v>
      </c>
      <c r="G348" s="51">
        <v>35632</v>
      </c>
      <c r="H348" s="51">
        <v>36915</v>
      </c>
    </row>
    <row r="349" spans="1:8" ht="60" customHeight="1">
      <c r="A349" s="154" t="s">
        <v>247</v>
      </c>
      <c r="B349" s="187" t="s">
        <v>174</v>
      </c>
      <c r="C349" s="33" t="s">
        <v>238</v>
      </c>
      <c r="D349" s="33" t="s">
        <v>251</v>
      </c>
      <c r="E349" s="33" t="s">
        <v>240</v>
      </c>
      <c r="F349" s="46">
        <v>1067</v>
      </c>
      <c r="G349" s="51">
        <v>1067</v>
      </c>
      <c r="H349" s="51">
        <v>1067</v>
      </c>
    </row>
    <row r="350" spans="1:8" ht="60" customHeight="1">
      <c r="A350" s="154" t="s">
        <v>247</v>
      </c>
      <c r="B350" s="187" t="s">
        <v>174</v>
      </c>
      <c r="C350" s="33" t="s">
        <v>239</v>
      </c>
      <c r="D350" s="33" t="s">
        <v>251</v>
      </c>
      <c r="E350" s="33" t="s">
        <v>240</v>
      </c>
      <c r="F350" s="46">
        <v>4</v>
      </c>
      <c r="G350" s="51">
        <v>4</v>
      </c>
      <c r="H350" s="51">
        <v>4</v>
      </c>
    </row>
    <row r="351" spans="1:8" ht="15" customHeight="1">
      <c r="A351" s="154"/>
      <c r="B351" s="187"/>
      <c r="C351" s="33"/>
      <c r="D351" s="33"/>
      <c r="E351" s="33"/>
      <c r="F351" s="46"/>
      <c r="G351" s="51"/>
      <c r="H351" s="51"/>
    </row>
    <row r="352" spans="1:8" ht="45" customHeight="1">
      <c r="A352" s="41" t="s">
        <v>175</v>
      </c>
      <c r="B352" s="194" t="s">
        <v>248</v>
      </c>
      <c r="C352" s="42"/>
      <c r="D352" s="34"/>
      <c r="E352" s="42"/>
      <c r="F352" s="73">
        <v>144327</v>
      </c>
      <c r="G352" s="74">
        <v>145316</v>
      </c>
      <c r="H352" s="74">
        <v>146186</v>
      </c>
    </row>
    <row r="353" spans="1:8" ht="59.25" customHeight="1">
      <c r="A353" s="41" t="s">
        <v>176</v>
      </c>
      <c r="B353" s="194" t="s">
        <v>177</v>
      </c>
      <c r="C353" s="42"/>
      <c r="D353" s="34"/>
      <c r="E353" s="42"/>
      <c r="F353" s="73">
        <v>7058</v>
      </c>
      <c r="G353" s="74">
        <v>7110</v>
      </c>
      <c r="H353" s="74">
        <v>7143</v>
      </c>
    </row>
    <row r="354" spans="1:8" ht="75" customHeight="1">
      <c r="A354" s="35" t="s">
        <v>249</v>
      </c>
      <c r="B354" s="203" t="s">
        <v>178</v>
      </c>
      <c r="C354" s="31"/>
      <c r="D354" s="30"/>
      <c r="E354" s="31"/>
      <c r="F354" s="46">
        <v>5217</v>
      </c>
      <c r="G354" s="69">
        <v>5269</v>
      </c>
      <c r="H354" s="69">
        <v>5302</v>
      </c>
    </row>
    <row r="355" spans="1:8" ht="60" customHeight="1">
      <c r="A355" s="35" t="s">
        <v>247</v>
      </c>
      <c r="B355" s="185" t="s">
        <v>179</v>
      </c>
      <c r="C355" s="31" t="s">
        <v>274</v>
      </c>
      <c r="D355" s="31" t="s">
        <v>508</v>
      </c>
      <c r="E355" s="31" t="s">
        <v>356</v>
      </c>
      <c r="F355" s="68">
        <v>5217</v>
      </c>
      <c r="G355" s="68">
        <v>5269</v>
      </c>
      <c r="H355" s="68">
        <v>5302</v>
      </c>
    </row>
    <row r="356" spans="1:8" ht="45" customHeight="1">
      <c r="A356" s="35" t="s">
        <v>524</v>
      </c>
      <c r="B356" s="203" t="s">
        <v>180</v>
      </c>
      <c r="C356" s="31"/>
      <c r="D356" s="87"/>
      <c r="E356" s="31"/>
      <c r="F356" s="46">
        <v>1841</v>
      </c>
      <c r="G356" s="64">
        <v>1841</v>
      </c>
      <c r="H356" s="64">
        <v>1841</v>
      </c>
    </row>
    <row r="357" spans="1:8" ht="30" customHeight="1">
      <c r="A357" s="35" t="s">
        <v>250</v>
      </c>
      <c r="B357" s="185" t="s">
        <v>181</v>
      </c>
      <c r="C357" s="31" t="s">
        <v>238</v>
      </c>
      <c r="D357" s="31" t="s">
        <v>508</v>
      </c>
      <c r="E357" s="31" t="s">
        <v>218</v>
      </c>
      <c r="F357" s="68">
        <v>1641</v>
      </c>
      <c r="G357" s="68">
        <v>1641</v>
      </c>
      <c r="H357" s="68">
        <v>1641</v>
      </c>
    </row>
    <row r="358" spans="1:8" ht="30" customHeight="1">
      <c r="A358" s="35" t="s">
        <v>250</v>
      </c>
      <c r="B358" s="185" t="s">
        <v>181</v>
      </c>
      <c r="C358" s="31" t="s">
        <v>274</v>
      </c>
      <c r="D358" s="126" t="s">
        <v>508</v>
      </c>
      <c r="E358" s="31" t="s">
        <v>356</v>
      </c>
      <c r="F358" s="68">
        <v>200</v>
      </c>
      <c r="G358" s="68">
        <v>200</v>
      </c>
      <c r="H358" s="68">
        <v>200</v>
      </c>
    </row>
    <row r="359" spans="1:8" ht="45" customHeight="1">
      <c r="A359" s="41" t="s">
        <v>186</v>
      </c>
      <c r="B359" s="194" t="s">
        <v>187</v>
      </c>
      <c r="C359" s="42"/>
      <c r="D359" s="124"/>
      <c r="E359" s="90"/>
      <c r="F359" s="73">
        <v>130999</v>
      </c>
      <c r="G359" s="95">
        <v>131727</v>
      </c>
      <c r="H359" s="95">
        <v>132389</v>
      </c>
    </row>
    <row r="360" spans="1:8" ht="75" customHeight="1">
      <c r="A360" s="35" t="s">
        <v>249</v>
      </c>
      <c r="B360" s="195" t="s">
        <v>20</v>
      </c>
      <c r="C360" s="31"/>
      <c r="D360" s="87"/>
      <c r="E360" s="85"/>
      <c r="F360" s="46">
        <v>124304</v>
      </c>
      <c r="G360" s="69">
        <v>125032</v>
      </c>
      <c r="H360" s="69">
        <v>125694</v>
      </c>
    </row>
    <row r="361" spans="1:8" ht="60" customHeight="1">
      <c r="A361" s="35" t="s">
        <v>466</v>
      </c>
      <c r="B361" s="184" t="s">
        <v>21</v>
      </c>
      <c r="C361" s="31" t="s">
        <v>274</v>
      </c>
      <c r="D361" s="126" t="s">
        <v>508</v>
      </c>
      <c r="E361" s="31" t="s">
        <v>218</v>
      </c>
      <c r="F361" s="68">
        <v>124304</v>
      </c>
      <c r="G361" s="69">
        <v>125032</v>
      </c>
      <c r="H361" s="69">
        <v>125694</v>
      </c>
    </row>
    <row r="362" spans="1:8" ht="45" customHeight="1">
      <c r="A362" s="35" t="s">
        <v>524</v>
      </c>
      <c r="B362" s="203" t="s">
        <v>23</v>
      </c>
      <c r="C362" s="31"/>
      <c r="D362" s="87"/>
      <c r="E362" s="85"/>
      <c r="F362" s="46">
        <v>6695</v>
      </c>
      <c r="G362" s="69">
        <v>6695</v>
      </c>
      <c r="H362" s="69">
        <v>6695</v>
      </c>
    </row>
    <row r="363" spans="1:8" ht="30" customHeight="1">
      <c r="A363" s="35" t="s">
        <v>250</v>
      </c>
      <c r="B363" s="185" t="s">
        <v>24</v>
      </c>
      <c r="C363" s="31" t="s">
        <v>238</v>
      </c>
      <c r="D363" s="126" t="s">
        <v>508</v>
      </c>
      <c r="E363" s="31" t="s">
        <v>218</v>
      </c>
      <c r="F363" s="68">
        <v>2862</v>
      </c>
      <c r="G363" s="68">
        <v>2862</v>
      </c>
      <c r="H363" s="68">
        <v>2862</v>
      </c>
    </row>
    <row r="364" spans="1:8" ht="30" customHeight="1">
      <c r="A364" s="35" t="s">
        <v>250</v>
      </c>
      <c r="B364" s="185" t="s">
        <v>24</v>
      </c>
      <c r="C364" s="31" t="s">
        <v>274</v>
      </c>
      <c r="D364" s="126" t="s">
        <v>508</v>
      </c>
      <c r="E364" s="31" t="s">
        <v>218</v>
      </c>
      <c r="F364" s="68">
        <v>3833</v>
      </c>
      <c r="G364" s="68">
        <v>3833</v>
      </c>
      <c r="H364" s="68">
        <v>3833</v>
      </c>
    </row>
    <row r="365" spans="1:8" ht="45" customHeight="1">
      <c r="A365" s="41" t="s">
        <v>323</v>
      </c>
      <c r="B365" s="194" t="s">
        <v>30</v>
      </c>
      <c r="C365" s="42"/>
      <c r="D365" s="34"/>
      <c r="E365" s="90"/>
      <c r="F365" s="73">
        <v>6270</v>
      </c>
      <c r="G365" s="95">
        <v>6479</v>
      </c>
      <c r="H365" s="95">
        <v>6654</v>
      </c>
    </row>
    <row r="366" spans="1:8" ht="60" customHeight="1">
      <c r="A366" s="35" t="s">
        <v>413</v>
      </c>
      <c r="B366" s="195" t="s">
        <v>31</v>
      </c>
      <c r="C366" s="31"/>
      <c r="D366" s="30"/>
      <c r="E366" s="31"/>
      <c r="F366" s="46">
        <v>6270</v>
      </c>
      <c r="G366" s="64">
        <v>6479</v>
      </c>
      <c r="H366" s="64">
        <v>6654</v>
      </c>
    </row>
    <row r="367" spans="1:8" ht="45" customHeight="1">
      <c r="A367" s="54" t="s">
        <v>33</v>
      </c>
      <c r="B367" s="184" t="s">
        <v>32</v>
      </c>
      <c r="C367" s="31" t="s">
        <v>237</v>
      </c>
      <c r="D367" s="126" t="s">
        <v>508</v>
      </c>
      <c r="E367" s="31" t="s">
        <v>325</v>
      </c>
      <c r="F367" s="68">
        <v>4777</v>
      </c>
      <c r="G367" s="69">
        <v>4986</v>
      </c>
      <c r="H367" s="69">
        <v>5161</v>
      </c>
    </row>
    <row r="368" spans="1:8" ht="45" customHeight="1">
      <c r="A368" s="54" t="s">
        <v>33</v>
      </c>
      <c r="B368" s="184" t="s">
        <v>32</v>
      </c>
      <c r="C368" s="31" t="s">
        <v>238</v>
      </c>
      <c r="D368" s="126" t="s">
        <v>508</v>
      </c>
      <c r="E368" s="31" t="s">
        <v>325</v>
      </c>
      <c r="F368" s="68">
        <v>1484</v>
      </c>
      <c r="G368" s="68">
        <v>1484</v>
      </c>
      <c r="H368" s="68">
        <v>1484</v>
      </c>
    </row>
    <row r="369" spans="1:8" ht="45" customHeight="1">
      <c r="A369" s="54" t="s">
        <v>33</v>
      </c>
      <c r="B369" s="184" t="s">
        <v>32</v>
      </c>
      <c r="C369" s="31" t="s">
        <v>239</v>
      </c>
      <c r="D369" s="126" t="s">
        <v>508</v>
      </c>
      <c r="E369" s="31" t="s">
        <v>325</v>
      </c>
      <c r="F369" s="68">
        <v>9</v>
      </c>
      <c r="G369" s="69">
        <v>9</v>
      </c>
      <c r="H369" s="69">
        <v>9</v>
      </c>
    </row>
    <row r="370" spans="1:8" ht="15" customHeight="1">
      <c r="A370" s="54"/>
      <c r="B370" s="184"/>
      <c r="C370" s="31"/>
      <c r="D370" s="126"/>
      <c r="E370" s="31"/>
      <c r="F370" s="68"/>
      <c r="G370" s="69"/>
      <c r="H370" s="69"/>
    </row>
    <row r="371" spans="1:8" ht="90" customHeight="1">
      <c r="A371" s="41" t="s">
        <v>34</v>
      </c>
      <c r="B371" s="194" t="s">
        <v>399</v>
      </c>
      <c r="C371" s="42"/>
      <c r="D371" s="34"/>
      <c r="E371" s="42"/>
      <c r="F371" s="73">
        <v>157385</v>
      </c>
      <c r="G371" s="74">
        <v>158798</v>
      </c>
      <c r="H371" s="74">
        <v>164158</v>
      </c>
    </row>
    <row r="372" spans="1:8" ht="45" customHeight="1">
      <c r="A372" s="41" t="s">
        <v>35</v>
      </c>
      <c r="B372" s="194" t="s">
        <v>37</v>
      </c>
      <c r="C372" s="42"/>
      <c r="D372" s="34"/>
      <c r="E372" s="42"/>
      <c r="F372" s="73">
        <v>92494</v>
      </c>
      <c r="G372" s="74">
        <v>93519</v>
      </c>
      <c r="H372" s="74">
        <v>96747</v>
      </c>
    </row>
    <row r="373" spans="1:8" ht="75" customHeight="1">
      <c r="A373" s="93" t="s">
        <v>504</v>
      </c>
      <c r="B373" s="186" t="s">
        <v>38</v>
      </c>
      <c r="C373" s="33"/>
      <c r="D373" s="155"/>
      <c r="E373" s="31"/>
      <c r="F373" s="46">
        <v>91711</v>
      </c>
      <c r="G373" s="64">
        <v>92736</v>
      </c>
      <c r="H373" s="64">
        <v>95964</v>
      </c>
    </row>
    <row r="374" spans="1:8" ht="60" customHeight="1">
      <c r="A374" s="94" t="s">
        <v>247</v>
      </c>
      <c r="B374" s="187" t="s">
        <v>39</v>
      </c>
      <c r="C374" s="33" t="s">
        <v>237</v>
      </c>
      <c r="D374" s="33" t="s">
        <v>219</v>
      </c>
      <c r="E374" s="33" t="s">
        <v>36</v>
      </c>
      <c r="F374" s="46">
        <v>87677</v>
      </c>
      <c r="G374" s="51">
        <v>91483</v>
      </c>
      <c r="H374" s="51">
        <v>94711</v>
      </c>
    </row>
    <row r="375" spans="1:8" ht="60" customHeight="1">
      <c r="A375" s="94" t="s">
        <v>247</v>
      </c>
      <c r="B375" s="187" t="s">
        <v>39</v>
      </c>
      <c r="C375" s="33" t="s">
        <v>238</v>
      </c>
      <c r="D375" s="33" t="s">
        <v>219</v>
      </c>
      <c r="E375" s="33" t="s">
        <v>36</v>
      </c>
      <c r="F375" s="46">
        <v>4017</v>
      </c>
      <c r="G375" s="46">
        <v>1236</v>
      </c>
      <c r="H375" s="46">
        <v>1236</v>
      </c>
    </row>
    <row r="376" spans="1:8" ht="60" customHeight="1">
      <c r="A376" s="94" t="s">
        <v>247</v>
      </c>
      <c r="B376" s="187" t="s">
        <v>39</v>
      </c>
      <c r="C376" s="33" t="s">
        <v>239</v>
      </c>
      <c r="D376" s="33" t="s">
        <v>219</v>
      </c>
      <c r="E376" s="33" t="s">
        <v>36</v>
      </c>
      <c r="F376" s="46">
        <v>17</v>
      </c>
      <c r="G376" s="46">
        <v>17</v>
      </c>
      <c r="H376" s="46">
        <v>17</v>
      </c>
    </row>
    <row r="377" spans="1:8" ht="45" customHeight="1">
      <c r="A377" s="93" t="s">
        <v>524</v>
      </c>
      <c r="B377" s="186" t="s">
        <v>40</v>
      </c>
      <c r="C377" s="33"/>
      <c r="D377" s="156"/>
      <c r="E377" s="31"/>
      <c r="F377" s="46">
        <v>783</v>
      </c>
      <c r="G377" s="64">
        <v>783</v>
      </c>
      <c r="H377" s="64">
        <v>783</v>
      </c>
    </row>
    <row r="378" spans="1:8" ht="30" customHeight="1">
      <c r="A378" s="93" t="s">
        <v>250</v>
      </c>
      <c r="B378" s="187" t="s">
        <v>41</v>
      </c>
      <c r="C378" s="33" t="s">
        <v>238</v>
      </c>
      <c r="D378" s="33" t="s">
        <v>219</v>
      </c>
      <c r="E378" s="33" t="s">
        <v>36</v>
      </c>
      <c r="F378" s="46">
        <v>3</v>
      </c>
      <c r="G378" s="64">
        <v>3</v>
      </c>
      <c r="H378" s="64">
        <v>3</v>
      </c>
    </row>
    <row r="379" spans="1:8" ht="30" customHeight="1">
      <c r="A379" s="93" t="s">
        <v>250</v>
      </c>
      <c r="B379" s="187" t="s">
        <v>41</v>
      </c>
      <c r="C379" s="33" t="s">
        <v>355</v>
      </c>
      <c r="D379" s="33" t="s">
        <v>219</v>
      </c>
      <c r="E379" s="33" t="s">
        <v>36</v>
      </c>
      <c r="F379" s="46">
        <v>150</v>
      </c>
      <c r="G379" s="46">
        <v>150</v>
      </c>
      <c r="H379" s="46">
        <v>150</v>
      </c>
    </row>
    <row r="380" spans="1:8" ht="30" customHeight="1">
      <c r="A380" s="93" t="s">
        <v>250</v>
      </c>
      <c r="B380" s="193" t="s">
        <v>41</v>
      </c>
      <c r="C380" s="33" t="s">
        <v>274</v>
      </c>
      <c r="D380" s="33" t="s">
        <v>241</v>
      </c>
      <c r="E380" s="33" t="s">
        <v>241</v>
      </c>
      <c r="F380" s="46">
        <v>630</v>
      </c>
      <c r="G380" s="51">
        <v>630</v>
      </c>
      <c r="H380" s="51">
        <v>630</v>
      </c>
    </row>
    <row r="381" spans="1:8" ht="105" customHeight="1">
      <c r="A381" s="41" t="s">
        <v>42</v>
      </c>
      <c r="B381" s="194" t="s">
        <v>43</v>
      </c>
      <c r="C381" s="42"/>
      <c r="D381" s="124"/>
      <c r="E381" s="42"/>
      <c r="F381" s="73">
        <v>61706</v>
      </c>
      <c r="G381" s="74">
        <v>61989</v>
      </c>
      <c r="H381" s="74">
        <v>64028</v>
      </c>
    </row>
    <row r="382" spans="1:8" ht="75" customHeight="1">
      <c r="A382" s="93" t="s">
        <v>249</v>
      </c>
      <c r="B382" s="186" t="s">
        <v>44</v>
      </c>
      <c r="C382" s="33"/>
      <c r="D382" s="87"/>
      <c r="E382" s="31"/>
      <c r="F382" s="46">
        <v>60920</v>
      </c>
      <c r="G382" s="64">
        <v>61290</v>
      </c>
      <c r="H382" s="64">
        <v>63329</v>
      </c>
    </row>
    <row r="383" spans="1:8" ht="60" customHeight="1">
      <c r="A383" s="94" t="s">
        <v>247</v>
      </c>
      <c r="B383" s="187" t="s">
        <v>612</v>
      </c>
      <c r="C383" s="33" t="s">
        <v>237</v>
      </c>
      <c r="D383" s="33" t="s">
        <v>219</v>
      </c>
      <c r="E383" s="33" t="s">
        <v>248</v>
      </c>
      <c r="F383" s="46">
        <v>52050</v>
      </c>
      <c r="G383" s="46">
        <v>54119</v>
      </c>
      <c r="H383" s="46">
        <v>55998</v>
      </c>
    </row>
    <row r="384" spans="1:8" ht="60" customHeight="1">
      <c r="A384" s="94" t="s">
        <v>247</v>
      </c>
      <c r="B384" s="187" t="s">
        <v>612</v>
      </c>
      <c r="C384" s="33" t="s">
        <v>238</v>
      </c>
      <c r="D384" s="33" t="s">
        <v>219</v>
      </c>
      <c r="E384" s="33" t="s">
        <v>248</v>
      </c>
      <c r="F384" s="46">
        <v>8555</v>
      </c>
      <c r="G384" s="51">
        <v>6891</v>
      </c>
      <c r="H384" s="51">
        <v>7051</v>
      </c>
    </row>
    <row r="385" spans="1:8" ht="60" customHeight="1">
      <c r="A385" s="94" t="s">
        <v>247</v>
      </c>
      <c r="B385" s="187" t="s">
        <v>612</v>
      </c>
      <c r="C385" s="33" t="s">
        <v>239</v>
      </c>
      <c r="D385" s="33" t="s">
        <v>219</v>
      </c>
      <c r="E385" s="33" t="s">
        <v>248</v>
      </c>
      <c r="F385" s="46">
        <v>315</v>
      </c>
      <c r="G385" s="51">
        <v>280</v>
      </c>
      <c r="H385" s="51">
        <v>280</v>
      </c>
    </row>
    <row r="386" spans="1:8" ht="60" customHeight="1">
      <c r="A386" s="107" t="s">
        <v>613</v>
      </c>
      <c r="B386" s="186" t="s">
        <v>614</v>
      </c>
      <c r="C386" s="33"/>
      <c r="D386" s="87"/>
      <c r="E386" s="85"/>
      <c r="F386" s="46">
        <v>786</v>
      </c>
      <c r="G386" s="68">
        <v>699</v>
      </c>
      <c r="H386" s="68">
        <v>699</v>
      </c>
    </row>
    <row r="387" spans="1:8" ht="45" customHeight="1">
      <c r="A387" s="94" t="s">
        <v>616</v>
      </c>
      <c r="B387" s="187" t="s">
        <v>615</v>
      </c>
      <c r="C387" s="33" t="s">
        <v>238</v>
      </c>
      <c r="D387" s="33" t="s">
        <v>219</v>
      </c>
      <c r="E387" s="33" t="s">
        <v>248</v>
      </c>
      <c r="F387" s="46">
        <v>786</v>
      </c>
      <c r="G387" s="46">
        <v>699</v>
      </c>
      <c r="H387" s="46">
        <v>699</v>
      </c>
    </row>
    <row r="388" spans="1:8" ht="30" customHeight="1">
      <c r="A388" s="41" t="s">
        <v>617</v>
      </c>
      <c r="B388" s="194" t="s">
        <v>618</v>
      </c>
      <c r="C388" s="42"/>
      <c r="D388" s="127"/>
      <c r="E388" s="90"/>
      <c r="F388" s="73">
        <v>3185</v>
      </c>
      <c r="G388" s="73">
        <v>3290</v>
      </c>
      <c r="H388" s="73">
        <v>3383</v>
      </c>
    </row>
    <row r="389" spans="1:8" ht="30" customHeight="1">
      <c r="A389" s="100" t="s">
        <v>619</v>
      </c>
      <c r="B389" s="186" t="s">
        <v>620</v>
      </c>
      <c r="C389" s="33"/>
      <c r="D389" s="128"/>
      <c r="E389" s="85"/>
      <c r="F389" s="46">
        <v>3185</v>
      </c>
      <c r="G389" s="68">
        <v>3290</v>
      </c>
      <c r="H389" s="68">
        <v>3383</v>
      </c>
    </row>
    <row r="390" spans="1:8" ht="15" customHeight="1">
      <c r="A390" s="93" t="s">
        <v>622</v>
      </c>
      <c r="B390" s="187" t="s">
        <v>621</v>
      </c>
      <c r="C390" s="33" t="s">
        <v>238</v>
      </c>
      <c r="D390" s="33" t="s">
        <v>219</v>
      </c>
      <c r="E390" s="33" t="s">
        <v>36</v>
      </c>
      <c r="F390" s="46">
        <v>81</v>
      </c>
      <c r="G390" s="46">
        <v>81</v>
      </c>
      <c r="H390" s="46">
        <v>81</v>
      </c>
    </row>
    <row r="391" spans="1:8" ht="15" customHeight="1">
      <c r="A391" s="93" t="s">
        <v>622</v>
      </c>
      <c r="B391" s="187" t="s">
        <v>621</v>
      </c>
      <c r="C391" s="33" t="s">
        <v>274</v>
      </c>
      <c r="D391" s="33" t="s">
        <v>325</v>
      </c>
      <c r="E391" s="33" t="s">
        <v>219</v>
      </c>
      <c r="F391" s="46">
        <v>3104</v>
      </c>
      <c r="G391" s="51">
        <v>3209</v>
      </c>
      <c r="H391" s="51">
        <v>3302</v>
      </c>
    </row>
    <row r="392" spans="1:8" ht="15" customHeight="1">
      <c r="A392" s="93"/>
      <c r="B392" s="187"/>
      <c r="C392" s="33"/>
      <c r="D392" s="33"/>
      <c r="E392" s="33"/>
      <c r="F392" s="46"/>
      <c r="G392" s="51"/>
      <c r="H392" s="51"/>
    </row>
    <row r="393" spans="1:8" ht="84.75" customHeight="1">
      <c r="A393" s="157" t="s">
        <v>623</v>
      </c>
      <c r="B393" s="194" t="s">
        <v>624</v>
      </c>
      <c r="C393" s="42"/>
      <c r="D393" s="124"/>
      <c r="E393" s="90"/>
      <c r="F393" s="73">
        <v>14603</v>
      </c>
      <c r="G393" s="73">
        <v>15516</v>
      </c>
      <c r="H393" s="73">
        <v>16015</v>
      </c>
    </row>
    <row r="394" spans="1:8" ht="45" customHeight="1">
      <c r="A394" s="106" t="s">
        <v>625</v>
      </c>
      <c r="B394" s="194" t="s">
        <v>626</v>
      </c>
      <c r="C394" s="42"/>
      <c r="D394" s="124"/>
      <c r="E394" s="90"/>
      <c r="F394" s="73">
        <v>14603</v>
      </c>
      <c r="G394" s="95">
        <v>15516</v>
      </c>
      <c r="H394" s="95">
        <v>16015</v>
      </c>
    </row>
    <row r="395" spans="1:8" ht="90" customHeight="1">
      <c r="A395" s="54" t="s">
        <v>627</v>
      </c>
      <c r="B395" s="186" t="s">
        <v>628</v>
      </c>
      <c r="C395" s="33"/>
      <c r="D395" s="87"/>
      <c r="E395" s="87"/>
      <c r="F395" s="46">
        <v>720</v>
      </c>
      <c r="G395" s="69">
        <v>1110</v>
      </c>
      <c r="H395" s="69">
        <v>1150</v>
      </c>
    </row>
    <row r="396" spans="1:8" ht="60" customHeight="1">
      <c r="A396" s="54" t="s">
        <v>630</v>
      </c>
      <c r="B396" s="187" t="s">
        <v>629</v>
      </c>
      <c r="C396" s="33" t="s">
        <v>238</v>
      </c>
      <c r="D396" s="33" t="s">
        <v>218</v>
      </c>
      <c r="E396" s="33" t="s">
        <v>624</v>
      </c>
      <c r="F396" s="46">
        <v>720</v>
      </c>
      <c r="G396" s="51">
        <v>1110</v>
      </c>
      <c r="H396" s="51">
        <v>1150</v>
      </c>
    </row>
    <row r="397" spans="1:8" ht="54.75">
      <c r="A397" s="54" t="s">
        <v>631</v>
      </c>
      <c r="B397" s="186" t="s">
        <v>632</v>
      </c>
      <c r="C397" s="33"/>
      <c r="D397" s="87"/>
      <c r="E397" s="85"/>
      <c r="F397" s="46">
        <v>30</v>
      </c>
      <c r="G397" s="69">
        <v>30</v>
      </c>
      <c r="H397" s="69">
        <v>30</v>
      </c>
    </row>
    <row r="398" spans="1:8" ht="45" customHeight="1">
      <c r="A398" s="54" t="s">
        <v>634</v>
      </c>
      <c r="B398" s="187" t="s">
        <v>633</v>
      </c>
      <c r="C398" s="33" t="s">
        <v>238</v>
      </c>
      <c r="D398" s="33" t="s">
        <v>218</v>
      </c>
      <c r="E398" s="33" t="s">
        <v>624</v>
      </c>
      <c r="F398" s="46">
        <v>30</v>
      </c>
      <c r="G398" s="51">
        <v>30</v>
      </c>
      <c r="H398" s="51">
        <v>30</v>
      </c>
    </row>
    <row r="399" spans="1:8" ht="60" customHeight="1">
      <c r="A399" s="54" t="s">
        <v>635</v>
      </c>
      <c r="B399" s="186" t="s">
        <v>636</v>
      </c>
      <c r="C399" s="33"/>
      <c r="D399" s="87"/>
      <c r="E399" s="85"/>
      <c r="F399" s="46">
        <v>70</v>
      </c>
      <c r="G399" s="68">
        <v>70</v>
      </c>
      <c r="H399" s="68">
        <v>80</v>
      </c>
    </row>
    <row r="400" spans="1:8" ht="45" customHeight="1">
      <c r="A400" s="54" t="s">
        <v>638</v>
      </c>
      <c r="B400" s="187" t="s">
        <v>637</v>
      </c>
      <c r="C400" s="33" t="s">
        <v>238</v>
      </c>
      <c r="D400" s="33" t="s">
        <v>218</v>
      </c>
      <c r="E400" s="33" t="s">
        <v>624</v>
      </c>
      <c r="F400" s="46">
        <v>70</v>
      </c>
      <c r="G400" s="51">
        <v>70</v>
      </c>
      <c r="H400" s="51">
        <v>80</v>
      </c>
    </row>
    <row r="401" spans="1:8" ht="75" customHeight="1">
      <c r="A401" s="158" t="s">
        <v>639</v>
      </c>
      <c r="B401" s="186" t="s">
        <v>640</v>
      </c>
      <c r="C401" s="33"/>
      <c r="D401" s="87"/>
      <c r="E401" s="87"/>
      <c r="F401" s="46">
        <v>13573</v>
      </c>
      <c r="G401" s="68">
        <v>14096</v>
      </c>
      <c r="H401" s="68">
        <v>14540</v>
      </c>
    </row>
    <row r="402" spans="1:8" ht="60" customHeight="1">
      <c r="A402" s="159" t="s">
        <v>247</v>
      </c>
      <c r="B402" s="187" t="s">
        <v>641</v>
      </c>
      <c r="C402" s="33" t="s">
        <v>274</v>
      </c>
      <c r="D402" s="33" t="s">
        <v>240</v>
      </c>
      <c r="E402" s="33" t="s">
        <v>294</v>
      </c>
      <c r="F402" s="46">
        <v>13573</v>
      </c>
      <c r="G402" s="51">
        <v>14096</v>
      </c>
      <c r="H402" s="51">
        <v>14540</v>
      </c>
    </row>
    <row r="403" spans="1:8" ht="41.25">
      <c r="A403" s="158" t="s">
        <v>679</v>
      </c>
      <c r="B403" s="186" t="s">
        <v>680</v>
      </c>
      <c r="C403" s="33"/>
      <c r="D403" s="87"/>
      <c r="E403" s="85"/>
      <c r="F403" s="46">
        <v>200</v>
      </c>
      <c r="G403" s="68">
        <v>200</v>
      </c>
      <c r="H403" s="68">
        <v>200</v>
      </c>
    </row>
    <row r="404" spans="1:8" ht="27">
      <c r="A404" s="159" t="s">
        <v>682</v>
      </c>
      <c r="B404" s="187" t="s">
        <v>681</v>
      </c>
      <c r="C404" s="33" t="s">
        <v>274</v>
      </c>
      <c r="D404" s="33" t="s">
        <v>240</v>
      </c>
      <c r="E404" s="33" t="s">
        <v>294</v>
      </c>
      <c r="F404" s="46">
        <v>200</v>
      </c>
      <c r="G404" s="51">
        <v>200</v>
      </c>
      <c r="H404" s="51">
        <v>200</v>
      </c>
    </row>
    <row r="405" spans="1:8" ht="75" customHeight="1">
      <c r="A405" s="54" t="s">
        <v>683</v>
      </c>
      <c r="B405" s="186" t="s">
        <v>684</v>
      </c>
      <c r="C405" s="33"/>
      <c r="D405" s="30"/>
      <c r="E405" s="30"/>
      <c r="F405" s="46">
        <v>10</v>
      </c>
      <c r="G405" s="68">
        <v>10</v>
      </c>
      <c r="H405" s="68">
        <v>15</v>
      </c>
    </row>
    <row r="406" spans="1:8" ht="60" customHeight="1">
      <c r="A406" s="54" t="s">
        <v>686</v>
      </c>
      <c r="B406" s="186" t="s">
        <v>685</v>
      </c>
      <c r="C406" s="33" t="s">
        <v>238</v>
      </c>
      <c r="D406" s="33" t="s">
        <v>218</v>
      </c>
      <c r="E406" s="33" t="s">
        <v>624</v>
      </c>
      <c r="F406" s="55">
        <v>10</v>
      </c>
      <c r="G406" s="56">
        <v>10</v>
      </c>
      <c r="H406" s="56">
        <v>15</v>
      </c>
    </row>
    <row r="407" spans="1:8" ht="15" customHeight="1">
      <c r="A407" s="159"/>
      <c r="B407" s="187"/>
      <c r="C407" s="33"/>
      <c r="D407" s="33"/>
      <c r="E407" s="33"/>
      <c r="F407" s="46"/>
      <c r="G407" s="51"/>
      <c r="H407" s="51"/>
    </row>
    <row r="408" spans="1:8" ht="90" customHeight="1">
      <c r="A408" s="106" t="s">
        <v>695</v>
      </c>
      <c r="B408" s="194" t="s">
        <v>36</v>
      </c>
      <c r="C408" s="42"/>
      <c r="D408" s="34"/>
      <c r="E408" s="42"/>
      <c r="F408" s="73">
        <v>46191</v>
      </c>
      <c r="G408" s="43">
        <v>43526</v>
      </c>
      <c r="H408" s="43">
        <v>44629</v>
      </c>
    </row>
    <row r="409" spans="1:8" ht="60" customHeight="1">
      <c r="A409" s="114" t="s">
        <v>696</v>
      </c>
      <c r="B409" s="208" t="s">
        <v>697</v>
      </c>
      <c r="C409" s="42"/>
      <c r="D409" s="34"/>
      <c r="E409" s="42"/>
      <c r="F409" s="73">
        <v>5983</v>
      </c>
      <c r="G409" s="43">
        <v>3963</v>
      </c>
      <c r="H409" s="43">
        <v>3985</v>
      </c>
    </row>
    <row r="410" spans="1:8" ht="75" customHeight="1">
      <c r="A410" s="94" t="s">
        <v>698</v>
      </c>
      <c r="B410" s="186" t="s">
        <v>699</v>
      </c>
      <c r="C410" s="33"/>
      <c r="D410" s="30"/>
      <c r="E410" s="30"/>
      <c r="F410" s="46">
        <v>150</v>
      </c>
      <c r="G410" s="64">
        <v>600</v>
      </c>
      <c r="H410" s="64">
        <v>600</v>
      </c>
    </row>
    <row r="411" spans="1:8" ht="60" customHeight="1">
      <c r="A411" s="94" t="s">
        <v>701</v>
      </c>
      <c r="B411" s="187" t="s">
        <v>700</v>
      </c>
      <c r="C411" s="33" t="s">
        <v>238</v>
      </c>
      <c r="D411" s="33" t="s">
        <v>251</v>
      </c>
      <c r="E411" s="33" t="s">
        <v>218</v>
      </c>
      <c r="F411" s="46">
        <v>150</v>
      </c>
      <c r="G411" s="51">
        <v>600</v>
      </c>
      <c r="H411" s="46">
        <v>600</v>
      </c>
    </row>
    <row r="412" spans="1:8" ht="45" customHeight="1">
      <c r="A412" s="94" t="s">
        <v>507</v>
      </c>
      <c r="B412" s="186" t="s">
        <v>702</v>
      </c>
      <c r="C412" s="33"/>
      <c r="D412" s="30"/>
      <c r="E412" s="31"/>
      <c r="F412" s="46">
        <v>3000</v>
      </c>
      <c r="G412" s="64">
        <v>530</v>
      </c>
      <c r="H412" s="64">
        <v>552</v>
      </c>
    </row>
    <row r="413" spans="1:8" ht="27">
      <c r="A413" s="94" t="s">
        <v>704</v>
      </c>
      <c r="B413" s="187" t="s">
        <v>703</v>
      </c>
      <c r="C413" s="33" t="s">
        <v>238</v>
      </c>
      <c r="D413" s="33" t="s">
        <v>325</v>
      </c>
      <c r="E413" s="33" t="s">
        <v>219</v>
      </c>
      <c r="F413" s="46">
        <v>3000</v>
      </c>
      <c r="G413" s="51">
        <v>530</v>
      </c>
      <c r="H413" s="46">
        <v>552</v>
      </c>
    </row>
    <row r="414" spans="1:8" ht="60" customHeight="1">
      <c r="A414" s="63" t="s">
        <v>705</v>
      </c>
      <c r="B414" s="209" t="s">
        <v>706</v>
      </c>
      <c r="C414" s="33"/>
      <c r="D414" s="30"/>
      <c r="E414" s="31"/>
      <c r="F414" s="46">
        <v>2833</v>
      </c>
      <c r="G414" s="36">
        <v>2833</v>
      </c>
      <c r="H414" s="36">
        <v>2833</v>
      </c>
    </row>
    <row r="415" spans="1:8" ht="45" customHeight="1">
      <c r="A415" s="151" t="s">
        <v>708</v>
      </c>
      <c r="B415" s="210" t="s">
        <v>707</v>
      </c>
      <c r="C415" s="33" t="s">
        <v>238</v>
      </c>
      <c r="D415" s="33" t="s">
        <v>399</v>
      </c>
      <c r="E415" s="33" t="s">
        <v>219</v>
      </c>
      <c r="F415" s="46">
        <v>2615</v>
      </c>
      <c r="G415" s="51">
        <v>2615</v>
      </c>
      <c r="H415" s="51">
        <v>2615</v>
      </c>
    </row>
    <row r="416" spans="1:8" ht="45" customHeight="1">
      <c r="A416" s="151" t="s">
        <v>708</v>
      </c>
      <c r="B416" s="210" t="s">
        <v>707</v>
      </c>
      <c r="C416" s="33" t="s">
        <v>274</v>
      </c>
      <c r="D416" s="33" t="s">
        <v>399</v>
      </c>
      <c r="E416" s="33" t="s">
        <v>219</v>
      </c>
      <c r="F416" s="46">
        <v>218</v>
      </c>
      <c r="G416" s="51">
        <v>218</v>
      </c>
      <c r="H416" s="51">
        <v>218</v>
      </c>
    </row>
    <row r="417" spans="1:8" ht="27">
      <c r="A417" s="106" t="s">
        <v>709</v>
      </c>
      <c r="B417" s="194" t="s">
        <v>710</v>
      </c>
      <c r="C417" s="42"/>
      <c r="D417" s="34"/>
      <c r="E417" s="42"/>
      <c r="F417" s="73">
        <v>7315</v>
      </c>
      <c r="G417" s="74">
        <v>7523</v>
      </c>
      <c r="H417" s="74">
        <v>7694</v>
      </c>
    </row>
    <row r="418" spans="1:8" ht="45" customHeight="1">
      <c r="A418" s="107" t="s">
        <v>507</v>
      </c>
      <c r="B418" s="186" t="s">
        <v>711</v>
      </c>
      <c r="C418" s="33"/>
      <c r="D418" s="30"/>
      <c r="E418" s="31"/>
      <c r="F418" s="46">
        <v>2462</v>
      </c>
      <c r="G418" s="64">
        <v>2463</v>
      </c>
      <c r="H418" s="64">
        <v>2463</v>
      </c>
    </row>
    <row r="419" spans="1:8" ht="30" customHeight="1">
      <c r="A419" s="94" t="s">
        <v>713</v>
      </c>
      <c r="B419" s="210" t="s">
        <v>712</v>
      </c>
      <c r="C419" s="33" t="s">
        <v>238</v>
      </c>
      <c r="D419" s="33" t="s">
        <v>241</v>
      </c>
      <c r="E419" s="33" t="s">
        <v>241</v>
      </c>
      <c r="F419" s="46">
        <v>1832</v>
      </c>
      <c r="G419" s="46">
        <v>1833</v>
      </c>
      <c r="H419" s="46">
        <v>1833</v>
      </c>
    </row>
    <row r="420" spans="1:8" ht="30" customHeight="1">
      <c r="A420" s="94" t="s">
        <v>713</v>
      </c>
      <c r="B420" s="210" t="s">
        <v>712</v>
      </c>
      <c r="C420" s="33" t="s">
        <v>355</v>
      </c>
      <c r="D420" s="33" t="s">
        <v>241</v>
      </c>
      <c r="E420" s="33" t="s">
        <v>241</v>
      </c>
      <c r="F420" s="46">
        <v>630</v>
      </c>
      <c r="G420" s="46">
        <v>630</v>
      </c>
      <c r="H420" s="46">
        <v>630</v>
      </c>
    </row>
    <row r="421" spans="1:8" ht="60" customHeight="1">
      <c r="A421" s="107" t="s">
        <v>527</v>
      </c>
      <c r="B421" s="186" t="s">
        <v>714</v>
      </c>
      <c r="C421" s="33"/>
      <c r="D421" s="30"/>
      <c r="E421" s="31"/>
      <c r="F421" s="46">
        <v>4853</v>
      </c>
      <c r="G421" s="64">
        <v>5060</v>
      </c>
      <c r="H421" s="64">
        <v>5231</v>
      </c>
    </row>
    <row r="422" spans="1:8" ht="45" customHeight="1">
      <c r="A422" s="146" t="s">
        <v>716</v>
      </c>
      <c r="B422" s="187" t="s">
        <v>715</v>
      </c>
      <c r="C422" s="33" t="s">
        <v>237</v>
      </c>
      <c r="D422" s="33" t="s">
        <v>241</v>
      </c>
      <c r="E422" s="33" t="s">
        <v>248</v>
      </c>
      <c r="F422" s="46">
        <v>4283</v>
      </c>
      <c r="G422" s="46">
        <v>4496</v>
      </c>
      <c r="H422" s="46">
        <v>4660</v>
      </c>
    </row>
    <row r="423" spans="1:8" ht="45" customHeight="1">
      <c r="A423" s="146" t="s">
        <v>716</v>
      </c>
      <c r="B423" s="187" t="s">
        <v>715</v>
      </c>
      <c r="C423" s="33" t="s">
        <v>238</v>
      </c>
      <c r="D423" s="33" t="s">
        <v>241</v>
      </c>
      <c r="E423" s="33" t="s">
        <v>248</v>
      </c>
      <c r="F423" s="46">
        <v>487</v>
      </c>
      <c r="G423" s="46">
        <v>481</v>
      </c>
      <c r="H423" s="46">
        <v>488</v>
      </c>
    </row>
    <row r="424" spans="1:8" ht="45" customHeight="1">
      <c r="A424" s="146" t="s">
        <v>716</v>
      </c>
      <c r="B424" s="187" t="s">
        <v>715</v>
      </c>
      <c r="C424" s="33" t="s">
        <v>239</v>
      </c>
      <c r="D424" s="33" t="s">
        <v>241</v>
      </c>
      <c r="E424" s="33" t="s">
        <v>248</v>
      </c>
      <c r="F424" s="46">
        <v>83</v>
      </c>
      <c r="G424" s="46">
        <v>83</v>
      </c>
      <c r="H424" s="46">
        <v>83</v>
      </c>
    </row>
    <row r="425" spans="1:8" ht="13.5">
      <c r="A425" s="160" t="s">
        <v>717</v>
      </c>
      <c r="B425" s="194" t="s">
        <v>718</v>
      </c>
      <c r="C425" s="42"/>
      <c r="D425" s="34"/>
      <c r="E425" s="42"/>
      <c r="F425" s="73">
        <v>32893</v>
      </c>
      <c r="G425" s="95">
        <v>32040</v>
      </c>
      <c r="H425" s="95">
        <v>32950</v>
      </c>
    </row>
    <row r="426" spans="1:8" ht="75" customHeight="1">
      <c r="A426" s="93" t="s">
        <v>324</v>
      </c>
      <c r="B426" s="186" t="s">
        <v>719</v>
      </c>
      <c r="C426" s="33"/>
      <c r="D426" s="33"/>
      <c r="E426" s="33"/>
      <c r="F426" s="46">
        <v>31233</v>
      </c>
      <c r="G426" s="64">
        <v>30740</v>
      </c>
      <c r="H426" s="64">
        <v>31600</v>
      </c>
    </row>
    <row r="427" spans="1:8" ht="60" customHeight="1">
      <c r="A427" s="93" t="s">
        <v>247</v>
      </c>
      <c r="B427" s="187" t="s">
        <v>720</v>
      </c>
      <c r="C427" s="33" t="s">
        <v>274</v>
      </c>
      <c r="D427" s="33" t="s">
        <v>294</v>
      </c>
      <c r="E427" s="33" t="s">
        <v>218</v>
      </c>
      <c r="F427" s="46">
        <v>31233</v>
      </c>
      <c r="G427" s="46">
        <v>30740</v>
      </c>
      <c r="H427" s="161">
        <v>31600</v>
      </c>
    </row>
    <row r="428" spans="1:8" ht="45" customHeight="1">
      <c r="A428" s="63" t="s">
        <v>507</v>
      </c>
      <c r="B428" s="186" t="s">
        <v>721</v>
      </c>
      <c r="C428" s="33"/>
      <c r="D428" s="30"/>
      <c r="E428" s="31"/>
      <c r="F428" s="46">
        <v>1660</v>
      </c>
      <c r="G428" s="64">
        <v>1300</v>
      </c>
      <c r="H428" s="64">
        <v>1350</v>
      </c>
    </row>
    <row r="429" spans="1:8" ht="30" customHeight="1">
      <c r="A429" s="54" t="s">
        <v>250</v>
      </c>
      <c r="B429" s="187" t="s">
        <v>722</v>
      </c>
      <c r="C429" s="33" t="s">
        <v>238</v>
      </c>
      <c r="D429" s="33" t="s">
        <v>251</v>
      </c>
      <c r="E429" s="33" t="s">
        <v>218</v>
      </c>
      <c r="F429" s="46">
        <v>1460</v>
      </c>
      <c r="G429" s="51">
        <v>1100</v>
      </c>
      <c r="H429" s="46">
        <v>1150</v>
      </c>
    </row>
    <row r="430" spans="1:8" ht="30" customHeight="1">
      <c r="A430" s="54" t="s">
        <v>250</v>
      </c>
      <c r="B430" s="187" t="s">
        <v>722</v>
      </c>
      <c r="C430" s="33" t="s">
        <v>238</v>
      </c>
      <c r="D430" s="33" t="s">
        <v>294</v>
      </c>
      <c r="E430" s="33" t="s">
        <v>218</v>
      </c>
      <c r="F430" s="46">
        <v>80</v>
      </c>
      <c r="G430" s="46">
        <v>80</v>
      </c>
      <c r="H430" s="46">
        <v>80</v>
      </c>
    </row>
    <row r="431" spans="1:8" ht="30" customHeight="1">
      <c r="A431" s="54" t="s">
        <v>250</v>
      </c>
      <c r="B431" s="187" t="s">
        <v>722</v>
      </c>
      <c r="C431" s="33" t="s">
        <v>355</v>
      </c>
      <c r="D431" s="33" t="s">
        <v>294</v>
      </c>
      <c r="E431" s="33" t="s">
        <v>218</v>
      </c>
      <c r="F431" s="46">
        <v>120</v>
      </c>
      <c r="G431" s="46">
        <v>120</v>
      </c>
      <c r="H431" s="161">
        <v>120</v>
      </c>
    </row>
    <row r="432" spans="1:8" ht="15" customHeight="1">
      <c r="A432" s="54"/>
      <c r="B432" s="187"/>
      <c r="C432" s="33"/>
      <c r="D432" s="33"/>
      <c r="E432" s="33"/>
      <c r="F432" s="46"/>
      <c r="G432" s="46"/>
      <c r="H432" s="161"/>
    </row>
    <row r="433" spans="1:8" ht="75" customHeight="1">
      <c r="A433" s="147" t="s">
        <v>723</v>
      </c>
      <c r="B433" s="211" t="s">
        <v>724</v>
      </c>
      <c r="C433" s="90"/>
      <c r="D433" s="34"/>
      <c r="E433" s="42"/>
      <c r="F433" s="73">
        <v>102036</v>
      </c>
      <c r="G433" s="95">
        <v>60538</v>
      </c>
      <c r="H433" s="95">
        <v>88464</v>
      </c>
    </row>
    <row r="434" spans="1:8" ht="120" customHeight="1">
      <c r="A434" s="261" t="s">
        <v>108</v>
      </c>
      <c r="B434" s="211" t="s">
        <v>725</v>
      </c>
      <c r="C434" s="90"/>
      <c r="D434" s="62"/>
      <c r="E434" s="62"/>
      <c r="F434" s="73">
        <v>102036</v>
      </c>
      <c r="G434" s="74">
        <v>60538</v>
      </c>
      <c r="H434" s="74">
        <v>88464</v>
      </c>
    </row>
    <row r="435" spans="1:8" ht="120" customHeight="1">
      <c r="A435" s="217" t="s">
        <v>109</v>
      </c>
      <c r="B435" s="192" t="s">
        <v>734</v>
      </c>
      <c r="C435" s="85"/>
      <c r="D435" s="164"/>
      <c r="E435" s="85"/>
      <c r="F435" s="68">
        <v>102036</v>
      </c>
      <c r="G435" s="64">
        <v>60538</v>
      </c>
      <c r="H435" s="64">
        <v>88464</v>
      </c>
    </row>
    <row r="436" spans="1:8" ht="75" customHeight="1">
      <c r="A436" s="262" t="s">
        <v>110</v>
      </c>
      <c r="B436" s="190" t="s">
        <v>726</v>
      </c>
      <c r="C436" s="62" t="s">
        <v>238</v>
      </c>
      <c r="D436" s="62" t="s">
        <v>325</v>
      </c>
      <c r="E436" s="62" t="s">
        <v>219</v>
      </c>
      <c r="F436" s="46">
        <v>102036</v>
      </c>
      <c r="G436" s="51">
        <v>60538</v>
      </c>
      <c r="H436" s="51">
        <v>88464</v>
      </c>
    </row>
    <row r="437" spans="1:8" ht="15" customHeight="1">
      <c r="A437" s="86"/>
      <c r="B437" s="190"/>
      <c r="C437" s="62"/>
      <c r="D437" s="62"/>
      <c r="E437" s="62"/>
      <c r="F437" s="46"/>
      <c r="G437" s="51"/>
      <c r="H437" s="51"/>
    </row>
    <row r="438" spans="1:8" ht="0.75" customHeight="1">
      <c r="A438" s="106" t="s">
        <v>737</v>
      </c>
      <c r="B438" s="194" t="s">
        <v>740</v>
      </c>
      <c r="C438" s="42"/>
      <c r="D438" s="34"/>
      <c r="E438" s="42"/>
      <c r="F438" s="73">
        <v>763510</v>
      </c>
      <c r="G438" s="74">
        <v>771398</v>
      </c>
      <c r="H438" s="74">
        <v>786428</v>
      </c>
    </row>
    <row r="439" spans="1:8" s="10" customFormat="1" ht="30" customHeight="1">
      <c r="A439" s="41" t="s">
        <v>739</v>
      </c>
      <c r="B439" s="194" t="s">
        <v>741</v>
      </c>
      <c r="C439" s="42"/>
      <c r="D439" s="34"/>
      <c r="E439" s="42"/>
      <c r="F439" s="73">
        <v>763510</v>
      </c>
      <c r="G439" s="95">
        <v>771398</v>
      </c>
      <c r="H439" s="95">
        <v>786428</v>
      </c>
    </row>
    <row r="440" spans="1:8" s="10" customFormat="1" ht="45" customHeight="1">
      <c r="A440" s="93" t="s">
        <v>416</v>
      </c>
      <c r="B440" s="187" t="s">
        <v>742</v>
      </c>
      <c r="C440" s="33" t="s">
        <v>237</v>
      </c>
      <c r="D440" s="33" t="s">
        <v>218</v>
      </c>
      <c r="E440" s="33" t="s">
        <v>219</v>
      </c>
      <c r="F440" s="161">
        <v>8769</v>
      </c>
      <c r="G440" s="161">
        <v>8847</v>
      </c>
      <c r="H440" s="161">
        <v>9159</v>
      </c>
    </row>
    <row r="441" spans="1:8" s="10" customFormat="1" ht="45" customHeight="1">
      <c r="A441" s="93" t="s">
        <v>416</v>
      </c>
      <c r="B441" s="187" t="s">
        <v>742</v>
      </c>
      <c r="C441" s="33" t="s">
        <v>237</v>
      </c>
      <c r="D441" s="33" t="s">
        <v>218</v>
      </c>
      <c r="E441" s="33" t="s">
        <v>240</v>
      </c>
      <c r="F441" s="55">
        <v>264596</v>
      </c>
      <c r="G441" s="55">
        <v>277967</v>
      </c>
      <c r="H441" s="55">
        <v>288186</v>
      </c>
    </row>
    <row r="442" spans="1:8" s="10" customFormat="1" ht="45" customHeight="1">
      <c r="A442" s="93" t="s">
        <v>416</v>
      </c>
      <c r="B442" s="187" t="s">
        <v>742</v>
      </c>
      <c r="C442" s="33" t="s">
        <v>237</v>
      </c>
      <c r="D442" s="33" t="s">
        <v>218</v>
      </c>
      <c r="E442" s="33" t="s">
        <v>71</v>
      </c>
      <c r="F442" s="46">
        <v>5453</v>
      </c>
      <c r="G442" s="46">
        <v>5690</v>
      </c>
      <c r="H442" s="46">
        <v>5890</v>
      </c>
    </row>
    <row r="443" spans="1:8" s="10" customFormat="1" ht="45" customHeight="1">
      <c r="A443" s="93" t="s">
        <v>416</v>
      </c>
      <c r="B443" s="187" t="s">
        <v>742</v>
      </c>
      <c r="C443" s="33" t="s">
        <v>237</v>
      </c>
      <c r="D443" s="33" t="s">
        <v>218</v>
      </c>
      <c r="E443" s="33" t="s">
        <v>241</v>
      </c>
      <c r="F443" s="46">
        <v>2935</v>
      </c>
      <c r="G443" s="46">
        <v>3062</v>
      </c>
      <c r="H443" s="46">
        <v>3170</v>
      </c>
    </row>
    <row r="444" spans="1:8" s="10" customFormat="1" ht="45" customHeight="1">
      <c r="A444" s="93" t="s">
        <v>416</v>
      </c>
      <c r="B444" s="187" t="s">
        <v>742</v>
      </c>
      <c r="C444" s="33" t="s">
        <v>237</v>
      </c>
      <c r="D444" s="33" t="s">
        <v>240</v>
      </c>
      <c r="E444" s="33" t="s">
        <v>294</v>
      </c>
      <c r="F444" s="46">
        <v>37365</v>
      </c>
      <c r="G444" s="46">
        <v>40022</v>
      </c>
      <c r="H444" s="46">
        <v>41434</v>
      </c>
    </row>
    <row r="445" spans="1:8" s="10" customFormat="1" ht="45" customHeight="1">
      <c r="A445" s="93" t="s">
        <v>416</v>
      </c>
      <c r="B445" s="187" t="s">
        <v>742</v>
      </c>
      <c r="C445" s="33" t="s">
        <v>238</v>
      </c>
      <c r="D445" s="33" t="s">
        <v>218</v>
      </c>
      <c r="E445" s="33" t="s">
        <v>219</v>
      </c>
      <c r="F445" s="161">
        <v>2425</v>
      </c>
      <c r="G445" s="161">
        <v>2425</v>
      </c>
      <c r="H445" s="161">
        <v>2425</v>
      </c>
    </row>
    <row r="446" spans="1:8" s="10" customFormat="1" ht="45" customHeight="1">
      <c r="A446" s="93" t="s">
        <v>416</v>
      </c>
      <c r="B446" s="187" t="s">
        <v>742</v>
      </c>
      <c r="C446" s="33" t="s">
        <v>238</v>
      </c>
      <c r="D446" s="33" t="s">
        <v>218</v>
      </c>
      <c r="E446" s="33" t="s">
        <v>240</v>
      </c>
      <c r="F446" s="55">
        <v>37143</v>
      </c>
      <c r="G446" s="55">
        <v>32459</v>
      </c>
      <c r="H446" s="55">
        <v>32624</v>
      </c>
    </row>
    <row r="447" spans="1:8" s="10" customFormat="1" ht="45" customHeight="1">
      <c r="A447" s="93" t="s">
        <v>416</v>
      </c>
      <c r="B447" s="187" t="s">
        <v>742</v>
      </c>
      <c r="C447" s="33" t="s">
        <v>238</v>
      </c>
      <c r="D447" s="33" t="s">
        <v>218</v>
      </c>
      <c r="E447" s="33" t="s">
        <v>71</v>
      </c>
      <c r="F447" s="46">
        <v>701</v>
      </c>
      <c r="G447" s="51">
        <v>701</v>
      </c>
      <c r="H447" s="51">
        <v>701</v>
      </c>
    </row>
    <row r="448" spans="1:8" s="10" customFormat="1" ht="45" customHeight="1">
      <c r="A448" s="93" t="s">
        <v>416</v>
      </c>
      <c r="B448" s="187" t="s">
        <v>742</v>
      </c>
      <c r="C448" s="33" t="s">
        <v>238</v>
      </c>
      <c r="D448" s="33" t="s">
        <v>218</v>
      </c>
      <c r="E448" s="33" t="s">
        <v>241</v>
      </c>
      <c r="F448" s="46">
        <v>428</v>
      </c>
      <c r="G448" s="51">
        <v>428</v>
      </c>
      <c r="H448" s="51">
        <v>428</v>
      </c>
    </row>
    <row r="449" spans="1:8" s="10" customFormat="1" ht="45" customHeight="1">
      <c r="A449" s="93" t="s">
        <v>416</v>
      </c>
      <c r="B449" s="187" t="s">
        <v>742</v>
      </c>
      <c r="C449" s="33" t="s">
        <v>238</v>
      </c>
      <c r="D449" s="33" t="s">
        <v>240</v>
      </c>
      <c r="E449" s="33" t="s">
        <v>294</v>
      </c>
      <c r="F449" s="46">
        <v>13089</v>
      </c>
      <c r="G449" s="51">
        <v>13089</v>
      </c>
      <c r="H449" s="51">
        <v>13089</v>
      </c>
    </row>
    <row r="450" spans="1:8" ht="45" customHeight="1">
      <c r="A450" s="93" t="s">
        <v>416</v>
      </c>
      <c r="B450" s="187" t="s">
        <v>742</v>
      </c>
      <c r="C450" s="33" t="s">
        <v>355</v>
      </c>
      <c r="D450" s="33" t="s">
        <v>218</v>
      </c>
      <c r="E450" s="33" t="s">
        <v>219</v>
      </c>
      <c r="F450" s="161">
        <v>10301</v>
      </c>
      <c r="G450" s="161">
        <v>10301</v>
      </c>
      <c r="H450" s="161">
        <v>10301</v>
      </c>
    </row>
    <row r="451" spans="1:8" ht="45" customHeight="1">
      <c r="A451" s="93" t="s">
        <v>416</v>
      </c>
      <c r="B451" s="187" t="s">
        <v>742</v>
      </c>
      <c r="C451" s="33" t="s">
        <v>239</v>
      </c>
      <c r="D451" s="33" t="s">
        <v>218</v>
      </c>
      <c r="E451" s="33" t="s">
        <v>240</v>
      </c>
      <c r="F451" s="55">
        <v>1023</v>
      </c>
      <c r="G451" s="55">
        <v>1023</v>
      </c>
      <c r="H451" s="55">
        <v>1023</v>
      </c>
    </row>
    <row r="452" spans="1:8" ht="45" customHeight="1">
      <c r="A452" s="93" t="s">
        <v>416</v>
      </c>
      <c r="B452" s="187" t="s">
        <v>742</v>
      </c>
      <c r="C452" s="33" t="s">
        <v>239</v>
      </c>
      <c r="D452" s="33" t="s">
        <v>218</v>
      </c>
      <c r="E452" s="33" t="s">
        <v>71</v>
      </c>
      <c r="F452" s="46">
        <v>20</v>
      </c>
      <c r="G452" s="51">
        <v>20</v>
      </c>
      <c r="H452" s="51">
        <v>20</v>
      </c>
    </row>
    <row r="453" spans="1:8" ht="45" customHeight="1">
      <c r="A453" s="93" t="s">
        <v>416</v>
      </c>
      <c r="B453" s="187" t="s">
        <v>742</v>
      </c>
      <c r="C453" s="33" t="s">
        <v>239</v>
      </c>
      <c r="D453" s="33" t="s">
        <v>218</v>
      </c>
      <c r="E453" s="33" t="s">
        <v>241</v>
      </c>
      <c r="F453" s="55">
        <v>1</v>
      </c>
      <c r="G453" s="56">
        <v>1</v>
      </c>
      <c r="H453" s="56">
        <v>1</v>
      </c>
    </row>
    <row r="454" spans="1:8" ht="45" customHeight="1">
      <c r="A454" s="93" t="s">
        <v>416</v>
      </c>
      <c r="B454" s="187" t="s">
        <v>742</v>
      </c>
      <c r="C454" s="33" t="s">
        <v>239</v>
      </c>
      <c r="D454" s="33" t="s">
        <v>240</v>
      </c>
      <c r="E454" s="33" t="s">
        <v>294</v>
      </c>
      <c r="F454" s="46">
        <v>6506</v>
      </c>
      <c r="G454" s="51">
        <v>6506</v>
      </c>
      <c r="H454" s="51">
        <v>6506</v>
      </c>
    </row>
    <row r="455" spans="1:8" ht="45" customHeight="1">
      <c r="A455" s="94" t="s">
        <v>744</v>
      </c>
      <c r="B455" s="187" t="s">
        <v>743</v>
      </c>
      <c r="C455" s="33" t="s">
        <v>237</v>
      </c>
      <c r="D455" s="33" t="s">
        <v>218</v>
      </c>
      <c r="E455" s="33" t="s">
        <v>240</v>
      </c>
      <c r="F455" s="46">
        <v>2604</v>
      </c>
      <c r="G455" s="46">
        <v>2604</v>
      </c>
      <c r="H455" s="46">
        <v>2604</v>
      </c>
    </row>
    <row r="456" spans="1:8" ht="69">
      <c r="A456" s="93" t="s">
        <v>746</v>
      </c>
      <c r="B456" s="187" t="s">
        <v>745</v>
      </c>
      <c r="C456" s="33" t="s">
        <v>237</v>
      </c>
      <c r="D456" s="33" t="s">
        <v>218</v>
      </c>
      <c r="E456" s="33" t="s">
        <v>240</v>
      </c>
      <c r="F456" s="46">
        <v>821</v>
      </c>
      <c r="G456" s="46">
        <v>821</v>
      </c>
      <c r="H456" s="46">
        <v>821</v>
      </c>
    </row>
    <row r="457" spans="1:8" ht="27">
      <c r="A457" s="107" t="s">
        <v>748</v>
      </c>
      <c r="B457" s="187" t="s">
        <v>747</v>
      </c>
      <c r="C457" s="33" t="s">
        <v>237</v>
      </c>
      <c r="D457" s="33" t="s">
        <v>240</v>
      </c>
      <c r="E457" s="33" t="s">
        <v>218</v>
      </c>
      <c r="F457" s="46">
        <v>530</v>
      </c>
      <c r="G457" s="46">
        <v>530</v>
      </c>
      <c r="H457" s="46">
        <v>530</v>
      </c>
    </row>
    <row r="458" spans="1:8" ht="69">
      <c r="A458" s="260" t="s">
        <v>107</v>
      </c>
      <c r="B458" s="187" t="s">
        <v>749</v>
      </c>
      <c r="C458" s="33" t="s">
        <v>237</v>
      </c>
      <c r="D458" s="33" t="s">
        <v>218</v>
      </c>
      <c r="E458" s="33" t="s">
        <v>219</v>
      </c>
      <c r="F458" s="161">
        <v>2441</v>
      </c>
      <c r="G458" s="161">
        <v>2460</v>
      </c>
      <c r="H458" s="161">
        <v>2536</v>
      </c>
    </row>
    <row r="459" spans="1:8" ht="60" customHeight="1">
      <c r="A459" s="94" t="s">
        <v>247</v>
      </c>
      <c r="B459" s="187" t="s">
        <v>750</v>
      </c>
      <c r="C459" s="33" t="s">
        <v>237</v>
      </c>
      <c r="D459" s="33" t="s">
        <v>218</v>
      </c>
      <c r="E459" s="33" t="s">
        <v>624</v>
      </c>
      <c r="F459" s="46">
        <v>52866</v>
      </c>
      <c r="G459" s="46">
        <v>55111</v>
      </c>
      <c r="H459" s="46">
        <v>57055</v>
      </c>
    </row>
    <row r="460" spans="1:8" ht="60" customHeight="1">
      <c r="A460" s="94" t="s">
        <v>247</v>
      </c>
      <c r="B460" s="187" t="s">
        <v>750</v>
      </c>
      <c r="C460" s="33" t="s">
        <v>238</v>
      </c>
      <c r="D460" s="33" t="s">
        <v>218</v>
      </c>
      <c r="E460" s="33" t="s">
        <v>624</v>
      </c>
      <c r="F460" s="46">
        <v>20659</v>
      </c>
      <c r="G460" s="68">
        <v>17804</v>
      </c>
      <c r="H460" s="46">
        <v>18009</v>
      </c>
    </row>
    <row r="461" spans="1:8" ht="60" customHeight="1">
      <c r="A461" s="94" t="s">
        <v>247</v>
      </c>
      <c r="B461" s="187" t="s">
        <v>750</v>
      </c>
      <c r="C461" s="33" t="s">
        <v>239</v>
      </c>
      <c r="D461" s="33" t="s">
        <v>218</v>
      </c>
      <c r="E461" s="33" t="s">
        <v>624</v>
      </c>
      <c r="F461" s="46">
        <v>1327</v>
      </c>
      <c r="G461" s="51">
        <v>1301</v>
      </c>
      <c r="H461" s="51">
        <v>1291</v>
      </c>
    </row>
    <row r="462" spans="1:8" ht="27">
      <c r="A462" s="93" t="s">
        <v>752</v>
      </c>
      <c r="B462" s="187" t="s">
        <v>751</v>
      </c>
      <c r="C462" s="33" t="s">
        <v>238</v>
      </c>
      <c r="D462" s="33" t="s">
        <v>219</v>
      </c>
      <c r="E462" s="33" t="s">
        <v>240</v>
      </c>
      <c r="F462" s="46">
        <v>1741</v>
      </c>
      <c r="G462" s="51">
        <v>1746</v>
      </c>
      <c r="H462" s="51">
        <v>1796</v>
      </c>
    </row>
    <row r="463" spans="1:8" ht="27">
      <c r="A463" s="93" t="s">
        <v>752</v>
      </c>
      <c r="B463" s="187" t="s">
        <v>751</v>
      </c>
      <c r="C463" s="33" t="s">
        <v>239</v>
      </c>
      <c r="D463" s="33" t="s">
        <v>219</v>
      </c>
      <c r="E463" s="33" t="s">
        <v>240</v>
      </c>
      <c r="F463" s="46">
        <v>400</v>
      </c>
      <c r="G463" s="51">
        <v>400</v>
      </c>
      <c r="H463" s="51">
        <v>400</v>
      </c>
    </row>
    <row r="464" spans="1:8" ht="45" customHeight="1">
      <c r="A464" s="107" t="s">
        <v>754</v>
      </c>
      <c r="B464" s="187" t="s">
        <v>753</v>
      </c>
      <c r="C464" s="33" t="s">
        <v>237</v>
      </c>
      <c r="D464" s="33" t="s">
        <v>218</v>
      </c>
      <c r="E464" s="33" t="s">
        <v>241</v>
      </c>
      <c r="F464" s="46">
        <v>4603</v>
      </c>
      <c r="G464" s="46">
        <v>4803</v>
      </c>
      <c r="H464" s="46">
        <v>4972</v>
      </c>
    </row>
    <row r="465" spans="1:8" ht="60" customHeight="1">
      <c r="A465" s="94" t="s">
        <v>758</v>
      </c>
      <c r="B465" s="187" t="s">
        <v>757</v>
      </c>
      <c r="C465" s="33" t="s">
        <v>237</v>
      </c>
      <c r="D465" s="33" t="s">
        <v>218</v>
      </c>
      <c r="E465" s="33" t="s">
        <v>71</v>
      </c>
      <c r="F465" s="46">
        <v>2941</v>
      </c>
      <c r="G465" s="46">
        <v>3067</v>
      </c>
      <c r="H465" s="46">
        <v>3174</v>
      </c>
    </row>
    <row r="466" spans="1:8" ht="60" customHeight="1">
      <c r="A466" s="54" t="s">
        <v>760</v>
      </c>
      <c r="B466" s="187" t="s">
        <v>759</v>
      </c>
      <c r="C466" s="33" t="s">
        <v>238</v>
      </c>
      <c r="D466" s="33" t="s">
        <v>218</v>
      </c>
      <c r="E466" s="33" t="s">
        <v>624</v>
      </c>
      <c r="F466" s="46">
        <v>1200</v>
      </c>
      <c r="G466" s="46">
        <v>1200</v>
      </c>
      <c r="H466" s="46">
        <v>1200</v>
      </c>
    </row>
    <row r="467" spans="1:8" ht="30" customHeight="1">
      <c r="A467" s="107" t="s">
        <v>275</v>
      </c>
      <c r="B467" s="187" t="s">
        <v>761</v>
      </c>
      <c r="C467" s="33" t="s">
        <v>238</v>
      </c>
      <c r="D467" s="33" t="s">
        <v>325</v>
      </c>
      <c r="E467" s="33" t="s">
        <v>325</v>
      </c>
      <c r="F467" s="55">
        <v>2500</v>
      </c>
      <c r="G467" s="56">
        <v>0</v>
      </c>
      <c r="H467" s="56">
        <v>0</v>
      </c>
    </row>
    <row r="468" spans="1:8" ht="27">
      <c r="A468" s="93" t="s">
        <v>763</v>
      </c>
      <c r="B468" s="187" t="s">
        <v>762</v>
      </c>
      <c r="C468" s="33" t="s">
        <v>239</v>
      </c>
      <c r="D468" s="33" t="s">
        <v>218</v>
      </c>
      <c r="E468" s="33" t="s">
        <v>624</v>
      </c>
      <c r="F468" s="55">
        <v>19754</v>
      </c>
      <c r="G468" s="56">
        <v>19754</v>
      </c>
      <c r="H468" s="56">
        <v>19754</v>
      </c>
    </row>
    <row r="469" spans="1:8" ht="27">
      <c r="A469" s="93" t="s">
        <v>763</v>
      </c>
      <c r="B469" s="187" t="s">
        <v>762</v>
      </c>
      <c r="C469" s="33" t="s">
        <v>239</v>
      </c>
      <c r="D469" s="33" t="s">
        <v>240</v>
      </c>
      <c r="E469" s="33" t="s">
        <v>294</v>
      </c>
      <c r="F469" s="46">
        <v>2108</v>
      </c>
      <c r="G469" s="51">
        <v>2108</v>
      </c>
      <c r="H469" s="51">
        <v>2108</v>
      </c>
    </row>
    <row r="470" spans="1:8" ht="30" customHeight="1">
      <c r="A470" s="107" t="s">
        <v>765</v>
      </c>
      <c r="B470" s="187" t="s">
        <v>764</v>
      </c>
      <c r="C470" s="33" t="s">
        <v>239</v>
      </c>
      <c r="D470" s="33" t="s">
        <v>218</v>
      </c>
      <c r="E470" s="33" t="s">
        <v>508</v>
      </c>
      <c r="F470" s="46">
        <v>38500</v>
      </c>
      <c r="G470" s="46">
        <v>38500</v>
      </c>
      <c r="H470" s="46">
        <v>38500</v>
      </c>
    </row>
    <row r="471" spans="1:8" ht="27">
      <c r="A471" s="93" t="s">
        <v>768</v>
      </c>
      <c r="B471" s="187" t="s">
        <v>766</v>
      </c>
      <c r="C471" s="33" t="s">
        <v>767</v>
      </c>
      <c r="D471" s="33" t="s">
        <v>624</v>
      </c>
      <c r="E471" s="33" t="s">
        <v>218</v>
      </c>
      <c r="F471" s="46">
        <v>188000</v>
      </c>
      <c r="G471" s="51">
        <v>188000</v>
      </c>
      <c r="H471" s="51">
        <v>188000</v>
      </c>
    </row>
    <row r="472" spans="1:8" ht="27">
      <c r="A472" s="93" t="s">
        <v>770</v>
      </c>
      <c r="B472" s="187" t="s">
        <v>769</v>
      </c>
      <c r="C472" s="33" t="s">
        <v>274</v>
      </c>
      <c r="D472" s="33" t="s">
        <v>325</v>
      </c>
      <c r="E472" s="33" t="s">
        <v>219</v>
      </c>
      <c r="F472" s="46">
        <v>250</v>
      </c>
      <c r="G472" s="51">
        <v>250</v>
      </c>
      <c r="H472" s="51">
        <v>250</v>
      </c>
    </row>
    <row r="473" spans="1:8" ht="13.5">
      <c r="A473" s="93" t="s">
        <v>362</v>
      </c>
      <c r="B473" s="187" t="s">
        <v>771</v>
      </c>
      <c r="C473" s="33" t="s">
        <v>238</v>
      </c>
      <c r="D473" s="33" t="s">
        <v>251</v>
      </c>
      <c r="E473" s="33" t="s">
        <v>218</v>
      </c>
      <c r="F473" s="55">
        <v>8116</v>
      </c>
      <c r="G473" s="56">
        <v>8061</v>
      </c>
      <c r="H473" s="56">
        <v>8061</v>
      </c>
    </row>
    <row r="474" spans="1:8" ht="13.5">
      <c r="A474" s="93" t="s">
        <v>362</v>
      </c>
      <c r="B474" s="187" t="s">
        <v>771</v>
      </c>
      <c r="C474" s="33" t="s">
        <v>355</v>
      </c>
      <c r="D474" s="33" t="s">
        <v>251</v>
      </c>
      <c r="E474" s="33" t="s">
        <v>218</v>
      </c>
      <c r="F474" s="46">
        <v>835</v>
      </c>
      <c r="G474" s="51">
        <v>835</v>
      </c>
      <c r="H474" s="51">
        <v>835</v>
      </c>
    </row>
    <row r="475" spans="1:8" ht="13.5">
      <c r="A475" s="93" t="s">
        <v>362</v>
      </c>
      <c r="B475" s="187" t="s">
        <v>771</v>
      </c>
      <c r="C475" s="33" t="s">
        <v>239</v>
      </c>
      <c r="D475" s="33" t="s">
        <v>251</v>
      </c>
      <c r="E475" s="33" t="s">
        <v>218</v>
      </c>
      <c r="F475" s="46">
        <v>1614</v>
      </c>
      <c r="G475" s="51">
        <v>1614</v>
      </c>
      <c r="H475" s="51">
        <v>1614</v>
      </c>
    </row>
    <row r="476" spans="1:8" ht="90" customHeight="1">
      <c r="A476" s="165" t="s">
        <v>775</v>
      </c>
      <c r="B476" s="188" t="s">
        <v>774</v>
      </c>
      <c r="C476" s="62" t="s">
        <v>238</v>
      </c>
      <c r="D476" s="62" t="s">
        <v>218</v>
      </c>
      <c r="E476" s="62" t="s">
        <v>325</v>
      </c>
      <c r="F476" s="46">
        <v>27</v>
      </c>
      <c r="G476" s="46">
        <v>43</v>
      </c>
      <c r="H476" s="46">
        <v>43</v>
      </c>
    </row>
    <row r="477" spans="1:8" ht="105" customHeight="1">
      <c r="A477" s="54" t="s">
        <v>777</v>
      </c>
      <c r="B477" s="187" t="s">
        <v>776</v>
      </c>
      <c r="C477" s="33" t="s">
        <v>237</v>
      </c>
      <c r="D477" s="33" t="s">
        <v>219</v>
      </c>
      <c r="E477" s="33" t="s">
        <v>240</v>
      </c>
      <c r="F477" s="46">
        <v>11407</v>
      </c>
      <c r="G477" s="51">
        <v>10334</v>
      </c>
      <c r="H477" s="51">
        <v>10554</v>
      </c>
    </row>
    <row r="478" spans="1:8" ht="105" customHeight="1">
      <c r="A478" s="54" t="s">
        <v>777</v>
      </c>
      <c r="B478" s="187" t="s">
        <v>776</v>
      </c>
      <c r="C478" s="33" t="s">
        <v>238</v>
      </c>
      <c r="D478" s="33" t="s">
        <v>219</v>
      </c>
      <c r="E478" s="33" t="s">
        <v>240</v>
      </c>
      <c r="F478" s="46">
        <v>1543</v>
      </c>
      <c r="G478" s="51">
        <v>1543</v>
      </c>
      <c r="H478" s="51">
        <v>1442</v>
      </c>
    </row>
    <row r="479" spans="1:8" ht="41.25">
      <c r="A479" s="94" t="s">
        <v>779</v>
      </c>
      <c r="B479" s="187" t="s">
        <v>778</v>
      </c>
      <c r="C479" s="33" t="s">
        <v>237</v>
      </c>
      <c r="D479" s="33" t="s">
        <v>240</v>
      </c>
      <c r="E479" s="33" t="s">
        <v>218</v>
      </c>
      <c r="F479" s="46">
        <v>1380</v>
      </c>
      <c r="G479" s="46">
        <v>1380</v>
      </c>
      <c r="H479" s="46">
        <v>1394</v>
      </c>
    </row>
    <row r="480" spans="1:8" ht="82.5">
      <c r="A480" s="94" t="s">
        <v>781</v>
      </c>
      <c r="B480" s="187" t="s">
        <v>780</v>
      </c>
      <c r="C480" s="33" t="s">
        <v>237</v>
      </c>
      <c r="D480" s="33" t="s">
        <v>218</v>
      </c>
      <c r="E480" s="33" t="s">
        <v>240</v>
      </c>
      <c r="F480" s="46">
        <v>2928</v>
      </c>
      <c r="G480" s="46">
        <v>2928</v>
      </c>
      <c r="H480" s="46">
        <v>2908</v>
      </c>
    </row>
    <row r="481" spans="1:8" ht="82.5">
      <c r="A481" s="94" t="s">
        <v>781</v>
      </c>
      <c r="B481" s="187" t="s">
        <v>780</v>
      </c>
      <c r="C481" s="33" t="s">
        <v>238</v>
      </c>
      <c r="D481" s="33" t="s">
        <v>218</v>
      </c>
      <c r="E481" s="33" t="s">
        <v>240</v>
      </c>
      <c r="F481" s="46">
        <v>130</v>
      </c>
      <c r="G481" s="46">
        <v>130</v>
      </c>
      <c r="H481" s="46">
        <v>150</v>
      </c>
    </row>
    <row r="482" spans="1:8" ht="69">
      <c r="A482" s="94" t="s">
        <v>783</v>
      </c>
      <c r="B482" s="187" t="s">
        <v>782</v>
      </c>
      <c r="C482" s="33" t="s">
        <v>237</v>
      </c>
      <c r="D482" s="33" t="s">
        <v>71</v>
      </c>
      <c r="E482" s="33" t="s">
        <v>325</v>
      </c>
      <c r="F482" s="46">
        <v>1530</v>
      </c>
      <c r="G482" s="46">
        <v>1530</v>
      </c>
      <c r="H482" s="46">
        <v>1470</v>
      </c>
    </row>
    <row r="483" spans="1:8" ht="13.5">
      <c r="A483" s="106" t="s">
        <v>786</v>
      </c>
      <c r="B483" s="183"/>
      <c r="C483" s="42"/>
      <c r="D483" s="42"/>
      <c r="E483" s="42"/>
      <c r="F483" s="73">
        <v>9758048</v>
      </c>
      <c r="G483" s="95">
        <v>9712825</v>
      </c>
      <c r="H483" s="95">
        <v>9921018</v>
      </c>
    </row>
    <row r="484" spans="3:5" ht="12.75">
      <c r="C484" s="258"/>
      <c r="D484" s="258"/>
      <c r="E484" s="258"/>
    </row>
    <row r="485" spans="3:5" ht="12.75">
      <c r="C485" s="258"/>
      <c r="D485" s="258"/>
      <c r="E485" s="258"/>
    </row>
    <row r="486" spans="3:5" ht="12.75">
      <c r="C486" s="258"/>
      <c r="D486" s="258"/>
      <c r="E486" s="258"/>
    </row>
    <row r="487" spans="3:5" ht="12.75">
      <c r="C487" s="258"/>
      <c r="D487" s="258"/>
      <c r="E487" s="258"/>
    </row>
    <row r="488" spans="3:5" ht="12.75">
      <c r="C488" s="258"/>
      <c r="D488" s="258"/>
      <c r="E488" s="258"/>
    </row>
    <row r="489" spans="3:5" ht="12.75">
      <c r="C489" s="258"/>
      <c r="D489" s="258"/>
      <c r="E489" s="258"/>
    </row>
    <row r="490" spans="3:5" ht="12.75">
      <c r="C490" s="258"/>
      <c r="D490" s="258"/>
      <c r="E490" s="258"/>
    </row>
    <row r="491" spans="3:5" ht="12.75">
      <c r="C491" s="258"/>
      <c r="D491" s="258"/>
      <c r="E491" s="258"/>
    </row>
    <row r="492" spans="3:5" ht="12.75">
      <c r="C492" s="258"/>
      <c r="D492" s="258"/>
      <c r="E492" s="258"/>
    </row>
    <row r="493" spans="3:5" ht="12.75">
      <c r="C493" s="258"/>
      <c r="D493" s="258"/>
      <c r="E493" s="258"/>
    </row>
    <row r="494" spans="3:5" ht="12.75">
      <c r="C494" s="258"/>
      <c r="D494" s="258"/>
      <c r="E494" s="258"/>
    </row>
    <row r="495" spans="3:5" ht="12.75">
      <c r="C495" s="258"/>
      <c r="D495" s="258"/>
      <c r="E495" s="258"/>
    </row>
    <row r="496" spans="3:5" ht="12.75">
      <c r="C496" s="258"/>
      <c r="D496" s="258"/>
      <c r="E496" s="258"/>
    </row>
    <row r="497" spans="3:5" ht="12.75">
      <c r="C497" s="258"/>
      <c r="D497" s="258"/>
      <c r="E497" s="258"/>
    </row>
    <row r="498" spans="3:5" ht="12.75">
      <c r="C498" s="258"/>
      <c r="D498" s="258"/>
      <c r="E498" s="258"/>
    </row>
    <row r="499" spans="3:5" ht="12.75">
      <c r="C499" s="258"/>
      <c r="D499" s="258"/>
      <c r="E499" s="258"/>
    </row>
    <row r="500" spans="3:5" ht="12.75">
      <c r="C500" s="258"/>
      <c r="D500" s="258"/>
      <c r="E500" s="258"/>
    </row>
    <row r="501" spans="3:5" ht="12.75">
      <c r="C501" s="258"/>
      <c r="D501" s="258"/>
      <c r="E501" s="258"/>
    </row>
    <row r="502" spans="3:5" ht="12.75">
      <c r="C502" s="258"/>
      <c r="D502" s="258"/>
      <c r="E502" s="258"/>
    </row>
    <row r="503" spans="3:5" ht="12.75">
      <c r="C503" s="258"/>
      <c r="D503" s="258"/>
      <c r="E503" s="258"/>
    </row>
    <row r="504" spans="3:5" ht="12.75">
      <c r="C504" s="258"/>
      <c r="D504" s="258"/>
      <c r="E504" s="258"/>
    </row>
    <row r="505" spans="3:5" ht="12.75">
      <c r="C505" s="258"/>
      <c r="D505" s="258"/>
      <c r="E505" s="258"/>
    </row>
    <row r="506" spans="3:5" ht="12.75">
      <c r="C506" s="258"/>
      <c r="D506" s="258"/>
      <c r="E506" s="258"/>
    </row>
    <row r="507" spans="3:5" ht="12.75">
      <c r="C507" s="258"/>
      <c r="D507" s="258"/>
      <c r="E507" s="258"/>
    </row>
    <row r="508" spans="3:5" ht="12.75">
      <c r="C508" s="258"/>
      <c r="D508" s="258"/>
      <c r="E508" s="258"/>
    </row>
    <row r="509" spans="3:5" ht="12.75">
      <c r="C509" s="258"/>
      <c r="D509" s="258"/>
      <c r="E509" s="258"/>
    </row>
    <row r="510" spans="3:5" ht="12.75">
      <c r="C510" s="258"/>
      <c r="D510" s="258"/>
      <c r="E510" s="258"/>
    </row>
    <row r="511" spans="3:5" ht="12.75">
      <c r="C511" s="258"/>
      <c r="D511" s="258"/>
      <c r="E511" s="258"/>
    </row>
    <row r="512" spans="3:5" ht="12.75">
      <c r="C512" s="258"/>
      <c r="D512" s="258"/>
      <c r="E512" s="258"/>
    </row>
    <row r="513" spans="3:5" ht="12.75">
      <c r="C513" s="258"/>
      <c r="D513" s="258"/>
      <c r="E513" s="258"/>
    </row>
    <row r="514" spans="3:5" ht="12.75">
      <c r="C514" s="258"/>
      <c r="D514" s="258"/>
      <c r="E514" s="258"/>
    </row>
    <row r="515" spans="3:5" ht="12.75">
      <c r="C515" s="258"/>
      <c r="D515" s="258"/>
      <c r="E515" s="258"/>
    </row>
    <row r="516" spans="3:5" ht="12.75">
      <c r="C516" s="258"/>
      <c r="D516" s="258"/>
      <c r="E516" s="258"/>
    </row>
    <row r="517" spans="3:5" ht="12.75">
      <c r="C517" s="258"/>
      <c r="D517" s="258"/>
      <c r="E517" s="258"/>
    </row>
    <row r="518" spans="3:5" ht="12.75">
      <c r="C518" s="258"/>
      <c r="D518" s="258"/>
      <c r="E518" s="258"/>
    </row>
    <row r="519" spans="3:5" ht="12.75">
      <c r="C519" s="258"/>
      <c r="D519" s="258"/>
      <c r="E519" s="258"/>
    </row>
    <row r="520" spans="3:5" ht="12.75">
      <c r="C520" s="258"/>
      <c r="D520" s="258"/>
      <c r="E520" s="258"/>
    </row>
    <row r="521" spans="3:5" ht="12.75">
      <c r="C521" s="258"/>
      <c r="D521" s="258"/>
      <c r="E521" s="258"/>
    </row>
    <row r="522" spans="3:5" ht="12.75">
      <c r="C522" s="258"/>
      <c r="D522" s="258"/>
      <c r="E522" s="258"/>
    </row>
    <row r="523" spans="3:5" ht="12.75">
      <c r="C523" s="258"/>
      <c r="D523" s="258"/>
      <c r="E523" s="258"/>
    </row>
    <row r="524" spans="3:5" ht="12.75">
      <c r="C524" s="258"/>
      <c r="D524" s="258"/>
      <c r="E524" s="258"/>
    </row>
    <row r="525" spans="3:5" ht="12.75">
      <c r="C525" s="258"/>
      <c r="D525" s="258"/>
      <c r="E525" s="258"/>
    </row>
    <row r="526" spans="3:5" ht="12.75">
      <c r="C526" s="258"/>
      <c r="D526" s="258"/>
      <c r="E526" s="258"/>
    </row>
    <row r="527" spans="3:5" ht="12.75">
      <c r="C527" s="258"/>
      <c r="D527" s="258"/>
      <c r="E527" s="258"/>
    </row>
    <row r="528" spans="3:5" ht="12.75">
      <c r="C528" s="258"/>
      <c r="D528" s="258"/>
      <c r="E528" s="258"/>
    </row>
    <row r="529" spans="3:5" ht="12.75">
      <c r="C529" s="258"/>
      <c r="D529" s="258"/>
      <c r="E529" s="258"/>
    </row>
    <row r="530" spans="3:5" ht="12.75">
      <c r="C530" s="258"/>
      <c r="D530" s="258"/>
      <c r="E530" s="258"/>
    </row>
    <row r="531" spans="3:5" ht="12.75">
      <c r="C531" s="258"/>
      <c r="D531" s="258"/>
      <c r="E531" s="258"/>
    </row>
    <row r="532" spans="3:5" ht="12.75">
      <c r="C532" s="258"/>
      <c r="D532" s="258"/>
      <c r="E532" s="258"/>
    </row>
    <row r="533" spans="3:5" ht="12.75">
      <c r="C533" s="258"/>
      <c r="D533" s="258"/>
      <c r="E533" s="258"/>
    </row>
    <row r="534" spans="3:5" ht="12.75">
      <c r="C534" s="258"/>
      <c r="D534" s="258"/>
      <c r="E534" s="258"/>
    </row>
    <row r="535" spans="3:5" ht="12.75">
      <c r="C535" s="258"/>
      <c r="D535" s="258"/>
      <c r="E535" s="258"/>
    </row>
    <row r="536" spans="3:5" ht="12.75">
      <c r="C536" s="258"/>
      <c r="D536" s="258"/>
      <c r="E536" s="258"/>
    </row>
    <row r="537" spans="3:5" ht="12.75">
      <c r="C537" s="258"/>
      <c r="D537" s="258"/>
      <c r="E537" s="258"/>
    </row>
    <row r="538" spans="3:5" ht="12.75">
      <c r="C538" s="258"/>
      <c r="D538" s="258"/>
      <c r="E538" s="258"/>
    </row>
    <row r="539" spans="3:5" ht="12.75">
      <c r="C539" s="258"/>
      <c r="D539" s="258"/>
      <c r="E539" s="258"/>
    </row>
    <row r="540" spans="3:5" ht="12.75">
      <c r="C540" s="258"/>
      <c r="D540" s="258"/>
      <c r="E540" s="258"/>
    </row>
    <row r="541" spans="3:5" ht="12.75">
      <c r="C541" s="258"/>
      <c r="D541" s="258"/>
      <c r="E541" s="258"/>
    </row>
    <row r="542" spans="3:5" ht="12.75">
      <c r="C542" s="258"/>
      <c r="D542" s="258"/>
      <c r="E542" s="258"/>
    </row>
    <row r="543" spans="3:5" ht="12.75">
      <c r="C543" s="258"/>
      <c r="D543" s="258"/>
      <c r="E543" s="258"/>
    </row>
    <row r="544" spans="3:5" ht="12.75">
      <c r="C544" s="258"/>
      <c r="D544" s="258"/>
      <c r="E544" s="258"/>
    </row>
    <row r="545" spans="3:5" ht="12.75">
      <c r="C545" s="258"/>
      <c r="D545" s="258"/>
      <c r="E545" s="258"/>
    </row>
    <row r="546" spans="3:5" ht="12.75">
      <c r="C546" s="258"/>
      <c r="D546" s="258"/>
      <c r="E546" s="258"/>
    </row>
    <row r="547" spans="3:5" ht="12.75">
      <c r="C547" s="258"/>
      <c r="D547" s="258"/>
      <c r="E547" s="258"/>
    </row>
    <row r="548" spans="3:5" ht="12.75">
      <c r="C548" s="258"/>
      <c r="D548" s="258"/>
      <c r="E548" s="258"/>
    </row>
    <row r="549" spans="3:5" ht="12.75">
      <c r="C549" s="258"/>
      <c r="D549" s="258"/>
      <c r="E549" s="258"/>
    </row>
    <row r="550" spans="3:5" ht="12.75">
      <c r="C550" s="258"/>
      <c r="D550" s="258"/>
      <c r="E550" s="258"/>
    </row>
    <row r="551" spans="3:5" ht="12.75">
      <c r="C551" s="258"/>
      <c r="D551" s="258"/>
      <c r="E551" s="258"/>
    </row>
    <row r="552" spans="3:5" ht="12.75">
      <c r="C552" s="258"/>
      <c r="D552" s="258"/>
      <c r="E552" s="258"/>
    </row>
    <row r="553" spans="3:5" ht="12.75">
      <c r="C553" s="258"/>
      <c r="D553" s="258"/>
      <c r="E553" s="258"/>
    </row>
    <row r="554" spans="3:5" ht="12.75">
      <c r="C554" s="258"/>
      <c r="D554" s="258"/>
      <c r="E554" s="258"/>
    </row>
    <row r="555" spans="3:5" ht="12.75">
      <c r="C555" s="258"/>
      <c r="D555" s="258"/>
      <c r="E555" s="258"/>
    </row>
    <row r="556" spans="3:5" ht="12.75">
      <c r="C556" s="258"/>
      <c r="D556" s="258"/>
      <c r="E556" s="258"/>
    </row>
    <row r="557" spans="3:5" ht="12.75">
      <c r="C557" s="258"/>
      <c r="D557" s="258"/>
      <c r="E557" s="258"/>
    </row>
    <row r="558" spans="3:5" ht="12.75">
      <c r="C558" s="258"/>
      <c r="D558" s="258"/>
      <c r="E558" s="258"/>
    </row>
    <row r="559" spans="3:5" ht="12.75">
      <c r="C559" s="258"/>
      <c r="D559" s="258"/>
      <c r="E559" s="258"/>
    </row>
    <row r="560" spans="3:5" ht="12.75">
      <c r="C560" s="258"/>
      <c r="D560" s="258"/>
      <c r="E560" s="258"/>
    </row>
    <row r="561" spans="3:5" ht="12.75">
      <c r="C561" s="258"/>
      <c r="D561" s="258"/>
      <c r="E561" s="258"/>
    </row>
    <row r="562" spans="3:5" ht="12.75">
      <c r="C562" s="258"/>
      <c r="D562" s="258"/>
      <c r="E562" s="258"/>
    </row>
    <row r="563" spans="3:5" ht="12.75">
      <c r="C563" s="258"/>
      <c r="D563" s="258"/>
      <c r="E563" s="258"/>
    </row>
    <row r="564" spans="3:5" ht="12.75">
      <c r="C564" s="258"/>
      <c r="D564" s="258"/>
      <c r="E564" s="258"/>
    </row>
    <row r="565" spans="3:5" ht="12.75">
      <c r="C565" s="258"/>
      <c r="D565" s="258"/>
      <c r="E565" s="258"/>
    </row>
    <row r="566" spans="3:5" ht="12.75">
      <c r="C566" s="258"/>
      <c r="D566" s="258"/>
      <c r="E566" s="258"/>
    </row>
    <row r="567" spans="3:5" ht="12.75">
      <c r="C567" s="258"/>
      <c r="D567" s="258"/>
      <c r="E567" s="258"/>
    </row>
    <row r="568" spans="3:5" ht="12.75">
      <c r="C568" s="258"/>
      <c r="D568" s="258"/>
      <c r="E568" s="258"/>
    </row>
    <row r="569" spans="3:5" ht="12.75">
      <c r="C569" s="258"/>
      <c r="D569" s="258"/>
      <c r="E569" s="258"/>
    </row>
    <row r="570" spans="3:5" ht="12.75">
      <c r="C570" s="258"/>
      <c r="D570" s="258"/>
      <c r="E570" s="258"/>
    </row>
    <row r="571" spans="3:5" ht="12.75">
      <c r="C571" s="258"/>
      <c r="D571" s="258"/>
      <c r="E571" s="258"/>
    </row>
    <row r="572" spans="3:5" ht="12.75">
      <c r="C572" s="258"/>
      <c r="D572" s="258"/>
      <c r="E572" s="258"/>
    </row>
    <row r="573" spans="3:5" ht="12.75">
      <c r="C573" s="258"/>
      <c r="D573" s="258"/>
      <c r="E573" s="258"/>
    </row>
    <row r="574" spans="3:5" ht="12.75">
      <c r="C574" s="258"/>
      <c r="D574" s="258"/>
      <c r="E574" s="258"/>
    </row>
    <row r="575" spans="3:5" ht="12.75">
      <c r="C575" s="258"/>
      <c r="D575" s="258"/>
      <c r="E575" s="258"/>
    </row>
    <row r="576" spans="3:5" ht="12.75">
      <c r="C576" s="258"/>
      <c r="D576" s="258"/>
      <c r="E576" s="258"/>
    </row>
    <row r="577" spans="3:5" ht="12.75">
      <c r="C577" s="258"/>
      <c r="D577" s="258"/>
      <c r="E577" s="258"/>
    </row>
    <row r="578" spans="3:5" ht="12.75">
      <c r="C578" s="258"/>
      <c r="D578" s="258"/>
      <c r="E578" s="258"/>
    </row>
    <row r="579" spans="3:5" ht="12.75">
      <c r="C579" s="258"/>
      <c r="D579" s="258"/>
      <c r="E579" s="258"/>
    </row>
    <row r="580" spans="3:5" ht="12.75">
      <c r="C580" s="258"/>
      <c r="D580" s="258"/>
      <c r="E580" s="258"/>
    </row>
    <row r="581" spans="3:5" ht="12.75">
      <c r="C581" s="258"/>
      <c r="D581" s="258"/>
      <c r="E581" s="258"/>
    </row>
    <row r="582" spans="3:5" ht="12.75">
      <c r="C582" s="258"/>
      <c r="D582" s="258"/>
      <c r="E582" s="258"/>
    </row>
    <row r="583" spans="3:5" ht="12.75">
      <c r="C583" s="258"/>
      <c r="D583" s="258"/>
      <c r="E583" s="258"/>
    </row>
    <row r="584" spans="3:5" ht="12.75">
      <c r="C584" s="258"/>
      <c r="D584" s="258"/>
      <c r="E584" s="258"/>
    </row>
    <row r="585" spans="3:5" ht="12.75">
      <c r="C585" s="258"/>
      <c r="D585" s="258"/>
      <c r="E585" s="258"/>
    </row>
    <row r="586" spans="3:5" ht="12.75">
      <c r="C586" s="258"/>
      <c r="D586" s="258"/>
      <c r="E586" s="258"/>
    </row>
    <row r="587" spans="3:5" ht="12.75">
      <c r="C587" s="258"/>
      <c r="D587" s="258"/>
      <c r="E587" s="258"/>
    </row>
    <row r="588" spans="3:5" ht="12.75">
      <c r="C588" s="258"/>
      <c r="D588" s="258"/>
      <c r="E588" s="258"/>
    </row>
    <row r="589" spans="3:5" ht="12.75">
      <c r="C589" s="258"/>
      <c r="D589" s="258"/>
      <c r="E589" s="258"/>
    </row>
    <row r="590" spans="3:5" ht="12.75">
      <c r="C590" s="258"/>
      <c r="D590" s="258"/>
      <c r="E590" s="258"/>
    </row>
    <row r="591" spans="3:5" ht="12.75">
      <c r="C591" s="258"/>
      <c r="D591" s="258"/>
      <c r="E591" s="258"/>
    </row>
    <row r="592" spans="3:5" ht="12.75">
      <c r="C592" s="258"/>
      <c r="D592" s="258"/>
      <c r="E592" s="258"/>
    </row>
    <row r="593" spans="3:5" ht="12.75">
      <c r="C593" s="258"/>
      <c r="D593" s="258"/>
      <c r="E593" s="258"/>
    </row>
  </sheetData>
  <sheetProtection selectLockedCells="1" selectUnlockedCells="1"/>
  <autoFilter ref="A12:H483"/>
  <mergeCells count="8">
    <mergeCell ref="A7:H7"/>
    <mergeCell ref="A10:A11"/>
    <mergeCell ref="D10:D11"/>
    <mergeCell ref="E10:E11"/>
    <mergeCell ref="B10:B11"/>
    <mergeCell ref="C10:C11"/>
    <mergeCell ref="F10:F11"/>
    <mergeCell ref="G10:H10"/>
  </mergeCells>
  <printOptions/>
  <pageMargins left="0.8201388888888889" right="0.32" top="0.7875" bottom="0.7875" header="0.5118055555555555" footer="0.5118055555555555"/>
  <pageSetup firstPageNumber="179" useFirstPageNumber="1" horizontalDpi="300" verticalDpi="300" orientation="portrait" paperSize="9" scale="93" r:id="rId1"/>
  <headerFooter alignWithMargins="0">
    <oddHeader>&amp;C&amp;11&amp;P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741"/>
  <sheetViews>
    <sheetView zoomScale="90" zoomScaleNormal="90" zoomScalePageLayoutView="0" workbookViewId="0" topLeftCell="A1">
      <pane xSplit="4" ySplit="8" topLeftCell="E607" activePane="bottomRight" state="frozen"/>
      <selection pane="topLeft" activeCell="A1" sqref="A1"/>
      <selection pane="topRight" activeCell="C1" sqref="C1"/>
      <selection pane="bottomLeft" activeCell="A1189" sqref="A1189"/>
      <selection pane="bottomRight" activeCell="L9" sqref="L9:L615"/>
    </sheetView>
  </sheetViews>
  <sheetFormatPr defaultColWidth="9.33203125" defaultRowHeight="12.75"/>
  <cols>
    <col min="1" max="1" width="44.5" style="10" customWidth="1"/>
    <col min="2" max="2" width="16.33203125" style="182" customWidth="1"/>
    <col min="3" max="3" width="8" style="10" customWidth="1"/>
    <col min="4" max="4" width="7.5" style="10" customWidth="1"/>
    <col min="5" max="5" width="7.83203125" style="10" customWidth="1"/>
    <col min="6" max="6" width="13.5" style="10" customWidth="1"/>
    <col min="7" max="7" width="13.33203125" style="16" customWidth="1"/>
    <col min="8" max="8" width="12.5" style="16" customWidth="1"/>
    <col min="9" max="9" width="13.5" style="10" customWidth="1"/>
    <col min="10" max="10" width="13.33203125" style="16" customWidth="1"/>
    <col min="11" max="11" width="12.5" style="16" customWidth="1"/>
    <col min="12" max="12" width="15" style="10" customWidth="1"/>
    <col min="13" max="13" width="13.33203125" style="16" customWidth="1"/>
    <col min="14" max="14" width="15.16015625" style="16" customWidth="1"/>
    <col min="15" max="16384" width="9.33203125" style="10" customWidth="1"/>
  </cols>
  <sheetData>
    <row r="1" spans="7:14" ht="12.75">
      <c r="G1" s="18">
        <v>447384</v>
      </c>
      <c r="H1" s="18">
        <v>0</v>
      </c>
      <c r="I1" s="18"/>
      <c r="J1" s="18">
        <v>449045</v>
      </c>
      <c r="K1" s="18">
        <v>0</v>
      </c>
      <c r="L1" s="18"/>
      <c r="M1" s="18">
        <v>461131</v>
      </c>
      <c r="N1" s="18">
        <v>0</v>
      </c>
    </row>
    <row r="2" spans="7:14" ht="12.75">
      <c r="G2" s="18">
        <v>4733673</v>
      </c>
      <c r="H2" s="18">
        <f>4836673-103000</f>
        <v>4733673</v>
      </c>
      <c r="I2" s="18"/>
      <c r="J2" s="18">
        <v>4932104</v>
      </c>
      <c r="K2" s="18">
        <v>4932104</v>
      </c>
      <c r="L2" s="18"/>
      <c r="M2" s="18">
        <v>5153410</v>
      </c>
      <c r="N2" s="18">
        <v>5153410</v>
      </c>
    </row>
    <row r="3" spans="7:14" ht="12.75">
      <c r="G3" s="18">
        <f>4920268+103000+500+1007-400</f>
        <v>5024375</v>
      </c>
      <c r="H3" s="18">
        <f>SUM(H1:H2)</f>
        <v>4733673</v>
      </c>
      <c r="I3" s="18"/>
      <c r="J3" s="18">
        <v>4816008</v>
      </c>
      <c r="K3" s="18">
        <v>4932104</v>
      </c>
      <c r="L3" s="18"/>
      <c r="M3" s="18">
        <v>4818821</v>
      </c>
      <c r="N3" s="18">
        <f>SUM(N1:N2)</f>
        <v>5153410</v>
      </c>
    </row>
    <row r="4" spans="7:14" ht="12.75">
      <c r="G4" s="24">
        <f>G3-G615</f>
        <v>0</v>
      </c>
      <c r="H4" s="24">
        <f>H3-H615</f>
        <v>0</v>
      </c>
      <c r="I4" s="22"/>
      <c r="J4" s="24">
        <f>J3-J615</f>
        <v>35287</v>
      </c>
      <c r="K4" s="24">
        <f>K3-K615</f>
        <v>0</v>
      </c>
      <c r="L4" s="22"/>
      <c r="M4" s="24">
        <f>M3-M615</f>
        <v>51213</v>
      </c>
      <c r="N4" s="24">
        <f>N3-N615</f>
        <v>0</v>
      </c>
    </row>
    <row r="5" spans="7:14" ht="12.75">
      <c r="G5" s="18"/>
      <c r="H5" s="18"/>
      <c r="I5" s="20"/>
      <c r="J5" s="19"/>
      <c r="K5" s="19"/>
      <c r="L5" s="20"/>
      <c r="M5" s="19"/>
      <c r="N5" s="19"/>
    </row>
    <row r="6" spans="1:14" ht="26.25" customHeight="1">
      <c r="A6" s="291" t="s">
        <v>211</v>
      </c>
      <c r="B6" s="291" t="s">
        <v>214</v>
      </c>
      <c r="C6" s="291" t="s">
        <v>215</v>
      </c>
      <c r="D6" s="291" t="s">
        <v>212</v>
      </c>
      <c r="E6" s="291" t="s">
        <v>188</v>
      </c>
      <c r="F6" s="293" t="s">
        <v>217</v>
      </c>
      <c r="G6" s="294" t="s">
        <v>189</v>
      </c>
      <c r="H6" s="294"/>
      <c r="I6" s="295" t="s">
        <v>202</v>
      </c>
      <c r="J6" s="297" t="s">
        <v>189</v>
      </c>
      <c r="K6" s="297"/>
      <c r="L6" s="298" t="s">
        <v>427</v>
      </c>
      <c r="M6" s="292" t="s">
        <v>189</v>
      </c>
      <c r="N6" s="292"/>
    </row>
    <row r="7" spans="1:14" ht="20.25">
      <c r="A7" s="291"/>
      <c r="B7" s="291"/>
      <c r="C7" s="291"/>
      <c r="D7" s="291"/>
      <c r="E7" s="291"/>
      <c r="F7" s="291"/>
      <c r="G7" s="129" t="s">
        <v>190</v>
      </c>
      <c r="H7" s="129" t="s">
        <v>191</v>
      </c>
      <c r="I7" s="296"/>
      <c r="J7" s="130" t="s">
        <v>190</v>
      </c>
      <c r="K7" s="130" t="s">
        <v>191</v>
      </c>
      <c r="L7" s="299"/>
      <c r="M7" s="131" t="s">
        <v>190</v>
      </c>
      <c r="N7" s="131" t="s">
        <v>191</v>
      </c>
    </row>
    <row r="8" spans="1:14" ht="12.75">
      <c r="A8" s="132">
        <v>1</v>
      </c>
      <c r="B8" s="132">
        <v>4</v>
      </c>
      <c r="C8" s="132">
        <v>5</v>
      </c>
      <c r="D8" s="132">
        <v>2</v>
      </c>
      <c r="E8" s="132">
        <v>3</v>
      </c>
      <c r="F8" s="132">
        <v>6</v>
      </c>
      <c r="G8" s="133">
        <v>7</v>
      </c>
      <c r="H8" s="133">
        <v>8</v>
      </c>
      <c r="I8" s="134">
        <v>6</v>
      </c>
      <c r="J8" s="136">
        <v>7</v>
      </c>
      <c r="K8" s="136">
        <v>8</v>
      </c>
      <c r="L8" s="137">
        <v>6</v>
      </c>
      <c r="M8" s="138">
        <v>7</v>
      </c>
      <c r="N8" s="138">
        <v>8</v>
      </c>
    </row>
    <row r="9" spans="1:14" s="28" customFormat="1" ht="69">
      <c r="A9" s="41" t="s">
        <v>295</v>
      </c>
      <c r="B9" s="183" t="s">
        <v>218</v>
      </c>
      <c r="C9" s="42"/>
      <c r="D9" s="42"/>
      <c r="E9" s="42"/>
      <c r="F9" s="73">
        <f aca="true" t="shared" si="0" ref="F9:F18">SUM(G9:H9)</f>
        <v>11797</v>
      </c>
      <c r="G9" s="43">
        <f>SUM(G10,G21)</f>
        <v>11797</v>
      </c>
      <c r="H9" s="43">
        <f>SUM(H10,H21)</f>
        <v>0</v>
      </c>
      <c r="I9" s="44">
        <f aca="true" t="shared" si="1" ref="I9:I24">SUM(J9:K9)</f>
        <v>9948</v>
      </c>
      <c r="J9" s="80">
        <f>SUM(J10,J21)</f>
        <v>9948</v>
      </c>
      <c r="K9" s="80">
        <f>SUM(K10,K21)</f>
        <v>0</v>
      </c>
      <c r="L9" s="45">
        <f aca="true" t="shared" si="2" ref="L9:L18">SUM(M9:N9)</f>
        <v>7753</v>
      </c>
      <c r="M9" s="81">
        <f>SUM(M10,M21)</f>
        <v>7753</v>
      </c>
      <c r="N9" s="81">
        <f>SUM(N10,N21)</f>
        <v>0</v>
      </c>
    </row>
    <row r="10" spans="1:14" s="28" customFormat="1" ht="41.25">
      <c r="A10" s="41" t="s">
        <v>296</v>
      </c>
      <c r="B10" s="183" t="s">
        <v>366</v>
      </c>
      <c r="C10" s="42"/>
      <c r="D10" s="42"/>
      <c r="E10" s="42"/>
      <c r="F10" s="73">
        <f t="shared" si="0"/>
        <v>11167</v>
      </c>
      <c r="G10" s="139">
        <f>SUM(G11,G13,G15,G17,G19)</f>
        <v>11167</v>
      </c>
      <c r="H10" s="139">
        <f>SUM(H11,H13,H15,H17,H19)</f>
        <v>0</v>
      </c>
      <c r="I10" s="44">
        <f t="shared" si="1"/>
        <v>9318</v>
      </c>
      <c r="J10" s="140">
        <f>SUM(J11,J13,J15,J17,J19)</f>
        <v>9318</v>
      </c>
      <c r="K10" s="140">
        <f>SUM(K11,K13,K15,K17,K19)</f>
        <v>0</v>
      </c>
      <c r="L10" s="45">
        <f t="shared" si="2"/>
        <v>7098</v>
      </c>
      <c r="M10" s="141">
        <f>SUM(M11,M13,M15,M17,M19)</f>
        <v>7098</v>
      </c>
      <c r="N10" s="141">
        <f>SUM(N11,N13,N15,N17,N19)</f>
        <v>0</v>
      </c>
    </row>
    <row r="11" spans="1:16" s="11" customFormat="1" ht="82.5">
      <c r="A11" s="215" t="s">
        <v>555</v>
      </c>
      <c r="B11" s="184" t="s">
        <v>367</v>
      </c>
      <c r="C11" s="31"/>
      <c r="D11" s="31"/>
      <c r="E11" s="31"/>
      <c r="F11" s="46">
        <f t="shared" si="0"/>
        <v>700</v>
      </c>
      <c r="G11" s="47">
        <f>SUM(G12)</f>
        <v>700</v>
      </c>
      <c r="H11" s="47">
        <f>SUM(H12)</f>
        <v>0</v>
      </c>
      <c r="I11" s="48">
        <f t="shared" si="1"/>
        <v>700</v>
      </c>
      <c r="J11" s="49">
        <f>SUM(J12)</f>
        <v>700</v>
      </c>
      <c r="K11" s="49">
        <f>SUM(K12)</f>
        <v>0</v>
      </c>
      <c r="L11" s="39">
        <f t="shared" si="2"/>
        <v>700</v>
      </c>
      <c r="M11" s="50">
        <f>SUM(M12)</f>
        <v>700</v>
      </c>
      <c r="N11" s="50">
        <f>SUM(N12)</f>
        <v>0</v>
      </c>
      <c r="O11" s="15"/>
      <c r="P11" s="15"/>
    </row>
    <row r="12" spans="1:16" s="11" customFormat="1" ht="37.5" customHeight="1">
      <c r="A12" s="216" t="s">
        <v>556</v>
      </c>
      <c r="B12" s="185" t="s">
        <v>297</v>
      </c>
      <c r="C12" s="32">
        <v>800</v>
      </c>
      <c r="D12" s="33" t="s">
        <v>240</v>
      </c>
      <c r="E12" s="33" t="s">
        <v>294</v>
      </c>
      <c r="F12" s="46">
        <f t="shared" si="0"/>
        <v>700</v>
      </c>
      <c r="G12" s="51">
        <f>700</f>
        <v>700</v>
      </c>
      <c r="H12" s="51"/>
      <c r="I12" s="48">
        <f t="shared" si="1"/>
        <v>700</v>
      </c>
      <c r="J12" s="52">
        <f>700</f>
        <v>700</v>
      </c>
      <c r="K12" s="269"/>
      <c r="L12" s="39">
        <f t="shared" si="2"/>
        <v>700</v>
      </c>
      <c r="M12" s="53">
        <f>700</f>
        <v>700</v>
      </c>
      <c r="N12" s="53"/>
      <c r="O12" s="15"/>
      <c r="P12" s="15"/>
    </row>
    <row r="13" spans="1:16" s="11" customFormat="1" ht="27">
      <c r="A13" s="54" t="s">
        <v>298</v>
      </c>
      <c r="B13" s="186" t="s">
        <v>368</v>
      </c>
      <c r="C13" s="31"/>
      <c r="D13" s="33"/>
      <c r="E13" s="33"/>
      <c r="F13" s="55">
        <f t="shared" si="0"/>
        <v>558</v>
      </c>
      <c r="G13" s="56">
        <f>SUM(G14)</f>
        <v>558</v>
      </c>
      <c r="H13" s="56">
        <f>SUM(H14)</f>
        <v>0</v>
      </c>
      <c r="I13" s="57">
        <f t="shared" si="1"/>
        <v>558</v>
      </c>
      <c r="J13" s="58">
        <f>SUM(J14)</f>
        <v>558</v>
      </c>
      <c r="K13" s="270">
        <f>SUM(K14)</f>
        <v>0</v>
      </c>
      <c r="L13" s="59">
        <f t="shared" si="2"/>
        <v>576</v>
      </c>
      <c r="M13" s="60">
        <f>SUM(M14)</f>
        <v>576</v>
      </c>
      <c r="N13" s="60">
        <f>SUM(N14)</f>
        <v>0</v>
      </c>
      <c r="O13" s="15"/>
      <c r="P13" s="15"/>
    </row>
    <row r="14" spans="1:16" s="11" customFormat="1" ht="27">
      <c r="A14" s="35" t="s">
        <v>250</v>
      </c>
      <c r="B14" s="187" t="s">
        <v>299</v>
      </c>
      <c r="C14" s="33" t="s">
        <v>238</v>
      </c>
      <c r="D14" s="33" t="s">
        <v>240</v>
      </c>
      <c r="E14" s="33" t="s">
        <v>294</v>
      </c>
      <c r="F14" s="46">
        <f t="shared" si="0"/>
        <v>558</v>
      </c>
      <c r="G14" s="51">
        <f>558</f>
        <v>558</v>
      </c>
      <c r="H14" s="51"/>
      <c r="I14" s="48">
        <f t="shared" si="1"/>
        <v>558</v>
      </c>
      <c r="J14" s="52">
        <f>558</f>
        <v>558</v>
      </c>
      <c r="K14" s="269"/>
      <c r="L14" s="39">
        <f t="shared" si="2"/>
        <v>576</v>
      </c>
      <c r="M14" s="53">
        <f>576</f>
        <v>576</v>
      </c>
      <c r="N14" s="53"/>
      <c r="O14" s="15"/>
      <c r="P14" s="15"/>
    </row>
    <row r="15" spans="1:14" s="11" customFormat="1" ht="69">
      <c r="A15" s="54" t="s">
        <v>304</v>
      </c>
      <c r="B15" s="186" t="s">
        <v>369</v>
      </c>
      <c r="C15" s="33"/>
      <c r="D15" s="33"/>
      <c r="E15" s="33"/>
      <c r="F15" s="55">
        <f t="shared" si="0"/>
        <v>99</v>
      </c>
      <c r="G15" s="56">
        <f>SUM(G16)</f>
        <v>99</v>
      </c>
      <c r="H15" s="56">
        <f>SUM(H16)</f>
        <v>0</v>
      </c>
      <c r="I15" s="57">
        <f t="shared" si="1"/>
        <v>99</v>
      </c>
      <c r="J15" s="58">
        <f>SUM(J16)</f>
        <v>99</v>
      </c>
      <c r="K15" s="270">
        <f>SUM(K16)</f>
        <v>0</v>
      </c>
      <c r="L15" s="59">
        <f t="shared" si="2"/>
        <v>103</v>
      </c>
      <c r="M15" s="60">
        <f>SUM(M16)</f>
        <v>103</v>
      </c>
      <c r="N15" s="60">
        <f>SUM(N16)</f>
        <v>0</v>
      </c>
    </row>
    <row r="16" spans="1:14" s="11" customFormat="1" ht="54.75">
      <c r="A16" s="35" t="s">
        <v>305</v>
      </c>
      <c r="B16" s="187" t="s">
        <v>306</v>
      </c>
      <c r="C16" s="33">
        <v>200</v>
      </c>
      <c r="D16" s="33" t="s">
        <v>240</v>
      </c>
      <c r="E16" s="33" t="s">
        <v>294</v>
      </c>
      <c r="F16" s="46">
        <f t="shared" si="0"/>
        <v>99</v>
      </c>
      <c r="G16" s="51">
        <f>99</f>
        <v>99</v>
      </c>
      <c r="H16" s="51"/>
      <c r="I16" s="48">
        <f t="shared" si="1"/>
        <v>99</v>
      </c>
      <c r="J16" s="52">
        <f>99</f>
        <v>99</v>
      </c>
      <c r="K16" s="269"/>
      <c r="L16" s="39">
        <f t="shared" si="2"/>
        <v>103</v>
      </c>
      <c r="M16" s="53">
        <f>103</f>
        <v>103</v>
      </c>
      <c r="N16" s="53"/>
    </row>
    <row r="17" spans="1:16" s="11" customFormat="1" ht="54.75">
      <c r="A17" s="61" t="s">
        <v>370</v>
      </c>
      <c r="B17" s="184" t="s">
        <v>371</v>
      </c>
      <c r="C17" s="31"/>
      <c r="D17" s="31"/>
      <c r="E17" s="31"/>
      <c r="F17" s="46">
        <f t="shared" si="0"/>
        <v>200</v>
      </c>
      <c r="G17" s="47">
        <f>SUM(G18)</f>
        <v>200</v>
      </c>
      <c r="H17" s="47">
        <f>SUM(H18)</f>
        <v>0</v>
      </c>
      <c r="I17" s="48">
        <f t="shared" si="1"/>
        <v>200</v>
      </c>
      <c r="J17" s="49">
        <f>SUM(J18)</f>
        <v>200</v>
      </c>
      <c r="K17" s="49">
        <f>SUM(K18)</f>
        <v>0</v>
      </c>
      <c r="L17" s="39">
        <f t="shared" si="2"/>
        <v>208</v>
      </c>
      <c r="M17" s="50">
        <f>SUM(M18)</f>
        <v>208</v>
      </c>
      <c r="N17" s="50">
        <f>SUM(N18)</f>
        <v>0</v>
      </c>
      <c r="O17" s="15"/>
      <c r="P17" s="15"/>
    </row>
    <row r="18" spans="1:16" s="11" customFormat="1" ht="49.5" customHeight="1">
      <c r="A18" s="61" t="s">
        <v>198</v>
      </c>
      <c r="B18" s="188" t="s">
        <v>199</v>
      </c>
      <c r="C18" s="62" t="s">
        <v>238</v>
      </c>
      <c r="D18" s="33" t="s">
        <v>240</v>
      </c>
      <c r="E18" s="31" t="s">
        <v>294</v>
      </c>
      <c r="F18" s="46">
        <f t="shared" si="0"/>
        <v>200</v>
      </c>
      <c r="G18" s="51">
        <f>200</f>
        <v>200</v>
      </c>
      <c r="H18" s="51"/>
      <c r="I18" s="48">
        <f t="shared" si="1"/>
        <v>200</v>
      </c>
      <c r="J18" s="52">
        <f>200</f>
        <v>200</v>
      </c>
      <c r="K18" s="269"/>
      <c r="L18" s="39">
        <f t="shared" si="2"/>
        <v>208</v>
      </c>
      <c r="M18" s="53">
        <f>208</f>
        <v>208</v>
      </c>
      <c r="N18" s="53"/>
      <c r="O18" s="15"/>
      <c r="P18" s="15"/>
    </row>
    <row r="19" spans="1:16" s="11" customFormat="1" ht="110.25">
      <c r="A19" s="63" t="s">
        <v>307</v>
      </c>
      <c r="B19" s="189" t="s">
        <v>372</v>
      </c>
      <c r="C19" s="30"/>
      <c r="D19" s="31"/>
      <c r="E19" s="31"/>
      <c r="F19" s="36">
        <f aca="true" t="shared" si="3" ref="F19:F28">SUM(G19:H19)</f>
        <v>9610</v>
      </c>
      <c r="G19" s="64">
        <f>SUM(G20)</f>
        <v>9610</v>
      </c>
      <c r="H19" s="64">
        <f>SUM(H20)</f>
        <v>0</v>
      </c>
      <c r="I19" s="38">
        <f t="shared" si="1"/>
        <v>7761</v>
      </c>
      <c r="J19" s="65">
        <f>SUM(J20)</f>
        <v>7761</v>
      </c>
      <c r="K19" s="271">
        <f>SUM(K20)</f>
        <v>0</v>
      </c>
      <c r="L19" s="40">
        <f aca="true" t="shared" si="4" ref="L19:L29">SUM(M19:N19)</f>
        <v>5511</v>
      </c>
      <c r="M19" s="66">
        <f>SUM(M20)</f>
        <v>5511</v>
      </c>
      <c r="N19" s="66">
        <f>SUM(N20)</f>
        <v>0</v>
      </c>
      <c r="O19" s="15"/>
      <c r="P19" s="15"/>
    </row>
    <row r="20" spans="1:16" s="11" customFormat="1" ht="82.5">
      <c r="A20" s="67" t="s">
        <v>209</v>
      </c>
      <c r="B20" s="184" t="s">
        <v>308</v>
      </c>
      <c r="C20" s="31" t="s">
        <v>239</v>
      </c>
      <c r="D20" s="31" t="s">
        <v>325</v>
      </c>
      <c r="E20" s="31" t="s">
        <v>325</v>
      </c>
      <c r="F20" s="68">
        <f t="shared" si="3"/>
        <v>9610</v>
      </c>
      <c r="G20" s="69">
        <f>9610</f>
        <v>9610</v>
      </c>
      <c r="H20" s="69"/>
      <c r="I20" s="37">
        <f t="shared" si="1"/>
        <v>7761</v>
      </c>
      <c r="J20" s="70">
        <f>7761</f>
        <v>7761</v>
      </c>
      <c r="K20" s="272"/>
      <c r="L20" s="71">
        <f t="shared" si="4"/>
        <v>5511</v>
      </c>
      <c r="M20" s="72">
        <f>5511</f>
        <v>5511</v>
      </c>
      <c r="N20" s="72"/>
      <c r="O20" s="15"/>
      <c r="P20" s="15"/>
    </row>
    <row r="21" spans="1:16" s="11" customFormat="1" ht="41.25">
      <c r="A21" s="41" t="s">
        <v>309</v>
      </c>
      <c r="B21" s="183" t="s">
        <v>373</v>
      </c>
      <c r="C21" s="42"/>
      <c r="D21" s="42"/>
      <c r="E21" s="42"/>
      <c r="F21" s="73">
        <f t="shared" si="3"/>
        <v>630</v>
      </c>
      <c r="G21" s="74">
        <f>SUM(G22,G24,G26,G28)</f>
        <v>630</v>
      </c>
      <c r="H21" s="74">
        <f>SUM(H22,H24,H26,H28)</f>
        <v>0</v>
      </c>
      <c r="I21" s="44">
        <f t="shared" si="1"/>
        <v>630</v>
      </c>
      <c r="J21" s="75">
        <f>SUM(J22,J24,J26,J28)</f>
        <v>630</v>
      </c>
      <c r="K21" s="75">
        <f>SUM(K22,K24,K26,K28)</f>
        <v>0</v>
      </c>
      <c r="L21" s="45">
        <f t="shared" si="4"/>
        <v>655</v>
      </c>
      <c r="M21" s="76">
        <f>SUM(M22,M24,M26,M28)</f>
        <v>655</v>
      </c>
      <c r="N21" s="76">
        <f>SUM(N22,N24,N26,N28)</f>
        <v>0</v>
      </c>
      <c r="O21" s="15"/>
      <c r="P21" s="15"/>
    </row>
    <row r="22" spans="1:16" s="11" customFormat="1" ht="77.25" customHeight="1">
      <c r="A22" s="35" t="s">
        <v>310</v>
      </c>
      <c r="B22" s="184" t="s">
        <v>374</v>
      </c>
      <c r="C22" s="31"/>
      <c r="D22" s="31"/>
      <c r="E22" s="31"/>
      <c r="F22" s="68">
        <f t="shared" si="3"/>
        <v>75</v>
      </c>
      <c r="G22" s="36">
        <f>SUM(G23)</f>
        <v>75</v>
      </c>
      <c r="H22" s="36">
        <f>SUM(H23)</f>
        <v>0</v>
      </c>
      <c r="I22" s="37">
        <f t="shared" si="1"/>
        <v>75</v>
      </c>
      <c r="J22" s="77">
        <f>SUM(J23)</f>
        <v>75</v>
      </c>
      <c r="K22" s="77">
        <f>SUM(K23)</f>
        <v>0</v>
      </c>
      <c r="L22" s="71">
        <f t="shared" si="4"/>
        <v>78</v>
      </c>
      <c r="M22" s="78">
        <f>SUM(M23)</f>
        <v>78</v>
      </c>
      <c r="N22" s="78">
        <f>SUM(N23)</f>
        <v>0</v>
      </c>
      <c r="O22" s="15"/>
      <c r="P22" s="15"/>
    </row>
    <row r="23" spans="1:16" s="11" customFormat="1" ht="54.75">
      <c r="A23" s="35" t="s">
        <v>311</v>
      </c>
      <c r="B23" s="187" t="s">
        <v>312</v>
      </c>
      <c r="C23" s="33" t="s">
        <v>238</v>
      </c>
      <c r="D23" s="31" t="s">
        <v>240</v>
      </c>
      <c r="E23" s="33" t="s">
        <v>294</v>
      </c>
      <c r="F23" s="46">
        <f t="shared" si="3"/>
        <v>75</v>
      </c>
      <c r="G23" s="51">
        <f>75</f>
        <v>75</v>
      </c>
      <c r="H23" s="51"/>
      <c r="I23" s="48">
        <f t="shared" si="1"/>
        <v>75</v>
      </c>
      <c r="J23" s="52">
        <f>75</f>
        <v>75</v>
      </c>
      <c r="K23" s="269"/>
      <c r="L23" s="39">
        <f t="shared" si="4"/>
        <v>78</v>
      </c>
      <c r="M23" s="53">
        <f>78</f>
        <v>78</v>
      </c>
      <c r="N23" s="53"/>
      <c r="O23" s="15"/>
      <c r="P23" s="15"/>
    </row>
    <row r="24" spans="1:16" s="11" customFormat="1" ht="27">
      <c r="A24" s="54" t="s">
        <v>313</v>
      </c>
      <c r="B24" s="186" t="s">
        <v>376</v>
      </c>
      <c r="C24" s="31"/>
      <c r="D24" s="31"/>
      <c r="E24" s="31"/>
      <c r="F24" s="68">
        <f t="shared" si="3"/>
        <v>377</v>
      </c>
      <c r="G24" s="36">
        <f>SUM(G25)</f>
        <v>377</v>
      </c>
      <c r="H24" s="36">
        <f>SUM(H25)</f>
        <v>0</v>
      </c>
      <c r="I24" s="37">
        <f t="shared" si="1"/>
        <v>377</v>
      </c>
      <c r="J24" s="77">
        <f>SUM(J25)</f>
        <v>377</v>
      </c>
      <c r="K24" s="77">
        <f>SUM(K25)</f>
        <v>0</v>
      </c>
      <c r="L24" s="71">
        <f t="shared" si="4"/>
        <v>392</v>
      </c>
      <c r="M24" s="78">
        <f>SUM(M25)</f>
        <v>392</v>
      </c>
      <c r="N24" s="78">
        <f>SUM(N25)</f>
        <v>0</v>
      </c>
      <c r="O24" s="15"/>
      <c r="P24" s="15"/>
    </row>
    <row r="25" spans="1:16" s="11" customFormat="1" ht="27">
      <c r="A25" s="63" t="s">
        <v>250</v>
      </c>
      <c r="B25" s="187" t="s">
        <v>314</v>
      </c>
      <c r="C25" s="32">
        <v>200</v>
      </c>
      <c r="D25" s="33" t="s">
        <v>240</v>
      </c>
      <c r="E25" s="33" t="s">
        <v>294</v>
      </c>
      <c r="F25" s="46">
        <f t="shared" si="3"/>
        <v>377</v>
      </c>
      <c r="G25" s="51">
        <f>377</f>
        <v>377</v>
      </c>
      <c r="H25" s="51"/>
      <c r="I25" s="37">
        <f>SUM(J25:K25)</f>
        <v>377</v>
      </c>
      <c r="J25" s="52">
        <f>377</f>
        <v>377</v>
      </c>
      <c r="K25" s="269"/>
      <c r="L25" s="39">
        <f t="shared" si="4"/>
        <v>392</v>
      </c>
      <c r="M25" s="53">
        <f>392</f>
        <v>392</v>
      </c>
      <c r="N25" s="53"/>
      <c r="O25" s="15"/>
      <c r="P25" s="15"/>
    </row>
    <row r="26" spans="1:16" s="11" customFormat="1" ht="54.75">
      <c r="A26" s="54" t="s">
        <v>315</v>
      </c>
      <c r="B26" s="184" t="s">
        <v>377</v>
      </c>
      <c r="C26" s="31"/>
      <c r="D26" s="31"/>
      <c r="E26" s="31"/>
      <c r="F26" s="46">
        <f t="shared" si="3"/>
        <v>129</v>
      </c>
      <c r="G26" s="36">
        <f>SUM(G27)</f>
        <v>129</v>
      </c>
      <c r="H26" s="36">
        <f>SUM(H27)</f>
        <v>0</v>
      </c>
      <c r="I26" s="37">
        <f>SUM(J26:K26)</f>
        <v>129</v>
      </c>
      <c r="J26" s="77">
        <f>SUM(J27)</f>
        <v>129</v>
      </c>
      <c r="K26" s="77">
        <f>SUM(K27)</f>
        <v>0</v>
      </c>
      <c r="L26" s="39">
        <f t="shared" si="4"/>
        <v>134</v>
      </c>
      <c r="M26" s="78">
        <f>SUM(M27)</f>
        <v>134</v>
      </c>
      <c r="N26" s="78">
        <f>SUM(N27)</f>
        <v>0</v>
      </c>
      <c r="O26" s="15"/>
      <c r="P26" s="15"/>
    </row>
    <row r="27" spans="1:16" s="11" customFormat="1" ht="41.25">
      <c r="A27" s="63" t="s">
        <v>316</v>
      </c>
      <c r="B27" s="187" t="s">
        <v>317</v>
      </c>
      <c r="C27" s="32">
        <v>200</v>
      </c>
      <c r="D27" s="33" t="s">
        <v>240</v>
      </c>
      <c r="E27" s="33" t="s">
        <v>294</v>
      </c>
      <c r="F27" s="46">
        <f t="shared" si="3"/>
        <v>129</v>
      </c>
      <c r="G27" s="51">
        <f>129</f>
        <v>129</v>
      </c>
      <c r="H27" s="51"/>
      <c r="I27" s="37">
        <f>SUM(J27:K27)</f>
        <v>129</v>
      </c>
      <c r="J27" s="52">
        <f>129</f>
        <v>129</v>
      </c>
      <c r="K27" s="269"/>
      <c r="L27" s="39">
        <f t="shared" si="4"/>
        <v>134</v>
      </c>
      <c r="M27" s="53">
        <f>134</f>
        <v>134</v>
      </c>
      <c r="N27" s="53"/>
      <c r="O27" s="15"/>
      <c r="P27" s="15"/>
    </row>
    <row r="28" spans="1:16" s="11" customFormat="1" ht="82.5">
      <c r="A28" s="54" t="s">
        <v>318</v>
      </c>
      <c r="B28" s="184" t="s">
        <v>378</v>
      </c>
      <c r="C28" s="31"/>
      <c r="D28" s="30"/>
      <c r="E28" s="31"/>
      <c r="F28" s="46">
        <f t="shared" si="3"/>
        <v>49</v>
      </c>
      <c r="G28" s="36">
        <f>SUM(G29)</f>
        <v>49</v>
      </c>
      <c r="H28" s="36">
        <f>SUM(H29)</f>
        <v>0</v>
      </c>
      <c r="I28" s="37">
        <f>SUM(J28:K28)</f>
        <v>49</v>
      </c>
      <c r="J28" s="77">
        <f>SUM(J29)</f>
        <v>49</v>
      </c>
      <c r="K28" s="77">
        <f>SUM(K29)</f>
        <v>0</v>
      </c>
      <c r="L28" s="39">
        <f t="shared" si="4"/>
        <v>51</v>
      </c>
      <c r="M28" s="78">
        <f>SUM(M29)</f>
        <v>51</v>
      </c>
      <c r="N28" s="78">
        <f>SUM(N29)</f>
        <v>0</v>
      </c>
      <c r="O28" s="15"/>
      <c r="P28" s="15"/>
    </row>
    <row r="29" spans="1:16" s="11" customFormat="1" ht="73.5" customHeight="1">
      <c r="A29" s="63" t="s">
        <v>319</v>
      </c>
      <c r="B29" s="187" t="s">
        <v>320</v>
      </c>
      <c r="C29" s="33" t="s">
        <v>238</v>
      </c>
      <c r="D29" s="33" t="s">
        <v>240</v>
      </c>
      <c r="E29" s="33" t="s">
        <v>294</v>
      </c>
      <c r="F29" s="46">
        <f aca="true" t="shared" si="5" ref="F29:F47">SUM(G29:H29)</f>
        <v>49</v>
      </c>
      <c r="G29" s="51">
        <f>49</f>
        <v>49</v>
      </c>
      <c r="H29" s="51"/>
      <c r="I29" s="37">
        <f>SUM(J29:K29)</f>
        <v>49</v>
      </c>
      <c r="J29" s="52">
        <f>49</f>
        <v>49</v>
      </c>
      <c r="K29" s="269"/>
      <c r="L29" s="39">
        <f t="shared" si="4"/>
        <v>51</v>
      </c>
      <c r="M29" s="53">
        <f>51</f>
        <v>51</v>
      </c>
      <c r="N29" s="53"/>
      <c r="O29" s="15"/>
      <c r="P29" s="15"/>
    </row>
    <row r="30" spans="1:16" s="11" customFormat="1" ht="13.5">
      <c r="A30" s="63"/>
      <c r="B30" s="187"/>
      <c r="C30" s="33"/>
      <c r="D30" s="33"/>
      <c r="E30" s="33"/>
      <c r="F30" s="46"/>
      <c r="G30" s="51"/>
      <c r="H30" s="51"/>
      <c r="I30" s="37"/>
      <c r="J30" s="52"/>
      <c r="K30" s="269"/>
      <c r="L30" s="39"/>
      <c r="M30" s="53"/>
      <c r="N30" s="53"/>
      <c r="O30" s="15"/>
      <c r="P30" s="15"/>
    </row>
    <row r="31" spans="1:14" s="28" customFormat="1" ht="41.25">
      <c r="A31" s="41" t="s">
        <v>242</v>
      </c>
      <c r="B31" s="183" t="s">
        <v>356</v>
      </c>
      <c r="C31" s="42"/>
      <c r="D31" s="42"/>
      <c r="E31" s="42"/>
      <c r="F31" s="73">
        <f t="shared" si="5"/>
        <v>805552</v>
      </c>
      <c r="G31" s="74">
        <f>SUM(G32,G37,G44,G77)</f>
        <v>805191</v>
      </c>
      <c r="H31" s="74">
        <f>SUM(H32,H37,H44,H77)</f>
        <v>361</v>
      </c>
      <c r="I31" s="44">
        <f aca="true" t="shared" si="6" ref="I31:I47">SUM(J31:K31)</f>
        <v>532441</v>
      </c>
      <c r="J31" s="75">
        <f>SUM(J32,J37,J44,J77)</f>
        <v>532080</v>
      </c>
      <c r="K31" s="75">
        <f>SUM(K32,K37,K44,K77)</f>
        <v>361</v>
      </c>
      <c r="L31" s="45">
        <f aca="true" t="shared" si="7" ref="L31:L47">SUM(M31:N31)</f>
        <v>433888</v>
      </c>
      <c r="M31" s="76">
        <f>SUM(M32,M37,M44,M77)</f>
        <v>433527</v>
      </c>
      <c r="N31" s="76">
        <f>SUM(N32,N37,N44,N77)</f>
        <v>361</v>
      </c>
    </row>
    <row r="32" spans="1:14" s="28" customFormat="1" ht="27">
      <c r="A32" s="79" t="s">
        <v>326</v>
      </c>
      <c r="B32" s="183" t="s">
        <v>379</v>
      </c>
      <c r="C32" s="42"/>
      <c r="D32" s="42"/>
      <c r="E32" s="42"/>
      <c r="F32" s="73">
        <f t="shared" si="5"/>
        <v>17766</v>
      </c>
      <c r="G32" s="43">
        <f>SUM(G33,G35)</f>
        <v>17766</v>
      </c>
      <c r="H32" s="43">
        <f>SUM(H33,H35)</f>
        <v>0</v>
      </c>
      <c r="I32" s="44">
        <f t="shared" si="6"/>
        <v>16134</v>
      </c>
      <c r="J32" s="80">
        <f>SUM(J33,J35)</f>
        <v>16134</v>
      </c>
      <c r="K32" s="80">
        <f>SUM(K33,K35)</f>
        <v>0</v>
      </c>
      <c r="L32" s="45">
        <f t="shared" si="7"/>
        <v>15101</v>
      </c>
      <c r="M32" s="81">
        <f>SUM(M33,M35)</f>
        <v>15101</v>
      </c>
      <c r="N32" s="81">
        <f>SUM(N33,N35)</f>
        <v>0</v>
      </c>
    </row>
    <row r="33" spans="1:16" s="11" customFormat="1" ht="27">
      <c r="A33" s="82" t="s">
        <v>327</v>
      </c>
      <c r="B33" s="184" t="s">
        <v>380</v>
      </c>
      <c r="C33" s="31"/>
      <c r="D33" s="31"/>
      <c r="E33" s="31"/>
      <c r="F33" s="46">
        <f t="shared" si="5"/>
        <v>1500</v>
      </c>
      <c r="G33" s="68">
        <f>SUM(G34)</f>
        <v>1500</v>
      </c>
      <c r="H33" s="68">
        <f>SUM(H34)</f>
        <v>0</v>
      </c>
      <c r="I33" s="37">
        <f t="shared" si="6"/>
        <v>1000</v>
      </c>
      <c r="J33" s="83">
        <f>SUM(J34)</f>
        <v>1000</v>
      </c>
      <c r="K33" s="83">
        <f>SUM(K34)</f>
        <v>0</v>
      </c>
      <c r="L33" s="39">
        <f t="shared" si="7"/>
        <v>1000</v>
      </c>
      <c r="M33" s="84">
        <f>SUM(M34)</f>
        <v>1000</v>
      </c>
      <c r="N33" s="84">
        <f>SUM(N34)</f>
        <v>0</v>
      </c>
      <c r="O33" s="15"/>
      <c r="P33" s="15"/>
    </row>
    <row r="34" spans="1:16" s="11" customFormat="1" ht="13.5">
      <c r="A34" s="61" t="s">
        <v>328</v>
      </c>
      <c r="B34" s="188" t="s">
        <v>329</v>
      </c>
      <c r="C34" s="32">
        <v>200</v>
      </c>
      <c r="D34" s="85" t="s">
        <v>325</v>
      </c>
      <c r="E34" s="85" t="s">
        <v>325</v>
      </c>
      <c r="F34" s="46">
        <f t="shared" si="5"/>
        <v>1500</v>
      </c>
      <c r="G34" s="46">
        <f>1500</f>
        <v>1500</v>
      </c>
      <c r="H34" s="46"/>
      <c r="I34" s="48">
        <f t="shared" si="6"/>
        <v>1000</v>
      </c>
      <c r="J34" s="48">
        <f>1000</f>
        <v>1000</v>
      </c>
      <c r="K34" s="273"/>
      <c r="L34" s="39">
        <f t="shared" si="7"/>
        <v>1000</v>
      </c>
      <c r="M34" s="39">
        <f>1000</f>
        <v>1000</v>
      </c>
      <c r="N34" s="39"/>
      <c r="O34" s="15"/>
      <c r="P34" s="15"/>
    </row>
    <row r="35" spans="1:16" s="9" customFormat="1" ht="41.25">
      <c r="A35" s="86" t="s">
        <v>330</v>
      </c>
      <c r="B35" s="190" t="s">
        <v>381</v>
      </c>
      <c r="C35" s="85"/>
      <c r="D35" s="87"/>
      <c r="E35" s="62"/>
      <c r="F35" s="46">
        <f t="shared" si="5"/>
        <v>16266</v>
      </c>
      <c r="G35" s="46">
        <f>SUM(G36)</f>
        <v>16266</v>
      </c>
      <c r="H35" s="46">
        <f>SUM(H36)</f>
        <v>0</v>
      </c>
      <c r="I35" s="48">
        <f t="shared" si="6"/>
        <v>15134</v>
      </c>
      <c r="J35" s="88">
        <f>SUM(J36)</f>
        <v>15134</v>
      </c>
      <c r="K35" s="88">
        <f>SUM(K36)</f>
        <v>0</v>
      </c>
      <c r="L35" s="39">
        <f t="shared" si="7"/>
        <v>14101</v>
      </c>
      <c r="M35" s="89">
        <f>SUM(M36)</f>
        <v>14101</v>
      </c>
      <c r="N35" s="89">
        <f>SUM(N36)</f>
        <v>0</v>
      </c>
      <c r="O35" s="23"/>
      <c r="P35" s="23"/>
    </row>
    <row r="36" spans="1:16" s="9" customFormat="1" ht="27">
      <c r="A36" s="61" t="s">
        <v>331</v>
      </c>
      <c r="B36" s="188" t="s">
        <v>332</v>
      </c>
      <c r="C36" s="62" t="s">
        <v>238</v>
      </c>
      <c r="D36" s="85" t="s">
        <v>325</v>
      </c>
      <c r="E36" s="85" t="s">
        <v>325</v>
      </c>
      <c r="F36" s="46">
        <f t="shared" si="5"/>
        <v>16266</v>
      </c>
      <c r="G36" s="46">
        <f>16266</f>
        <v>16266</v>
      </c>
      <c r="H36" s="46"/>
      <c r="I36" s="48">
        <f t="shared" si="6"/>
        <v>15134</v>
      </c>
      <c r="J36" s="48">
        <f>15134</f>
        <v>15134</v>
      </c>
      <c r="K36" s="273"/>
      <c r="L36" s="39">
        <f t="shared" si="7"/>
        <v>14101</v>
      </c>
      <c r="M36" s="39">
        <f>14101</f>
        <v>14101</v>
      </c>
      <c r="N36" s="39"/>
      <c r="O36" s="23"/>
      <c r="P36" s="23"/>
    </row>
    <row r="37" spans="1:14" s="29" customFormat="1" ht="27">
      <c r="A37" s="41" t="s">
        <v>243</v>
      </c>
      <c r="B37" s="191" t="s">
        <v>382</v>
      </c>
      <c r="C37" s="90"/>
      <c r="D37" s="90"/>
      <c r="E37" s="90"/>
      <c r="F37" s="73">
        <f t="shared" si="5"/>
        <v>350</v>
      </c>
      <c r="G37" s="73">
        <f>SUM(G38,G42)</f>
        <v>350</v>
      </c>
      <c r="H37" s="73">
        <f>SUM(H38,H42)</f>
        <v>0</v>
      </c>
      <c r="I37" s="44">
        <f t="shared" si="6"/>
        <v>350</v>
      </c>
      <c r="J37" s="91">
        <f>SUM(J38,J42)</f>
        <v>350</v>
      </c>
      <c r="K37" s="91">
        <f>SUM(K38,K42)</f>
        <v>0</v>
      </c>
      <c r="L37" s="45">
        <f t="shared" si="7"/>
        <v>350</v>
      </c>
      <c r="M37" s="92">
        <f>SUM(M38,M42)</f>
        <v>350</v>
      </c>
      <c r="N37" s="92">
        <f>SUM(N38,N42)</f>
        <v>0</v>
      </c>
    </row>
    <row r="38" spans="1:16" s="9" customFormat="1" ht="41.25">
      <c r="A38" s="93" t="s">
        <v>358</v>
      </c>
      <c r="B38" s="192" t="s">
        <v>375</v>
      </c>
      <c r="C38" s="85"/>
      <c r="D38" s="85"/>
      <c r="E38" s="85"/>
      <c r="F38" s="46">
        <f t="shared" si="5"/>
        <v>0</v>
      </c>
      <c r="G38" s="68">
        <f>SUM(G39,G40,G41)</f>
        <v>0</v>
      </c>
      <c r="H38" s="68">
        <f>SUM(H39,H40,H41)</f>
        <v>0</v>
      </c>
      <c r="I38" s="88">
        <f t="shared" si="6"/>
        <v>0</v>
      </c>
      <c r="J38" s="83">
        <f>SUM(J39,J40,J41)</f>
        <v>0</v>
      </c>
      <c r="K38" s="83">
        <f>SUM(K39,K40,K41)</f>
        <v>0</v>
      </c>
      <c r="L38" s="89">
        <f t="shared" si="7"/>
        <v>0</v>
      </c>
      <c r="M38" s="84">
        <f>SUM(M39,M40,M41)</f>
        <v>0</v>
      </c>
      <c r="N38" s="84">
        <f>SUM(N39,N40,N41)</f>
        <v>0</v>
      </c>
      <c r="O38" s="23"/>
      <c r="P38" s="23"/>
    </row>
    <row r="39" spans="1:16" s="9" customFormat="1" ht="41.25">
      <c r="A39" s="93" t="s">
        <v>359</v>
      </c>
      <c r="B39" s="193" t="s">
        <v>360</v>
      </c>
      <c r="C39" s="33" t="s">
        <v>274</v>
      </c>
      <c r="D39" s="33" t="s">
        <v>241</v>
      </c>
      <c r="E39" s="33" t="s">
        <v>218</v>
      </c>
      <c r="F39" s="46">
        <f t="shared" si="5"/>
        <v>0</v>
      </c>
      <c r="G39" s="68"/>
      <c r="H39" s="68"/>
      <c r="I39" s="88">
        <f t="shared" si="6"/>
        <v>0</v>
      </c>
      <c r="J39" s="83"/>
      <c r="K39" s="83"/>
      <c r="L39" s="89">
        <f t="shared" si="7"/>
        <v>0</v>
      </c>
      <c r="M39" s="84"/>
      <c r="N39" s="84"/>
      <c r="O39" s="23"/>
      <c r="P39" s="23"/>
    </row>
    <row r="40" spans="1:16" s="9" customFormat="1" ht="41.25">
      <c r="A40" s="93" t="s">
        <v>359</v>
      </c>
      <c r="B40" s="193" t="s">
        <v>360</v>
      </c>
      <c r="C40" s="33" t="s">
        <v>274</v>
      </c>
      <c r="D40" s="33" t="s">
        <v>241</v>
      </c>
      <c r="E40" s="33" t="s">
        <v>356</v>
      </c>
      <c r="F40" s="46">
        <f t="shared" si="5"/>
        <v>0</v>
      </c>
      <c r="G40" s="68"/>
      <c r="H40" s="68"/>
      <c r="I40" s="37">
        <f t="shared" si="6"/>
        <v>0</v>
      </c>
      <c r="J40" s="83"/>
      <c r="K40" s="83"/>
      <c r="L40" s="39">
        <f t="shared" si="7"/>
        <v>0</v>
      </c>
      <c r="M40" s="84"/>
      <c r="N40" s="84"/>
      <c r="O40" s="23"/>
      <c r="P40" s="23"/>
    </row>
    <row r="41" spans="1:16" s="11" customFormat="1" ht="47.25" customHeight="1">
      <c r="A41" s="93" t="s">
        <v>359</v>
      </c>
      <c r="B41" s="193" t="s">
        <v>360</v>
      </c>
      <c r="C41" s="33" t="s">
        <v>274</v>
      </c>
      <c r="D41" s="33" t="s">
        <v>241</v>
      </c>
      <c r="E41" s="33" t="s">
        <v>248</v>
      </c>
      <c r="F41" s="46">
        <f t="shared" si="5"/>
        <v>0</v>
      </c>
      <c r="G41" s="46"/>
      <c r="H41" s="46"/>
      <c r="I41" s="48">
        <f t="shared" si="6"/>
        <v>0</v>
      </c>
      <c r="J41" s="48"/>
      <c r="K41" s="273"/>
      <c r="L41" s="39">
        <f t="shared" si="7"/>
        <v>0</v>
      </c>
      <c r="M41" s="39"/>
      <c r="N41" s="39"/>
      <c r="O41" s="15"/>
      <c r="P41" s="15"/>
    </row>
    <row r="42" spans="1:16" s="11" customFormat="1" ht="54.75">
      <c r="A42" s="93" t="s">
        <v>244</v>
      </c>
      <c r="B42" s="186" t="s">
        <v>383</v>
      </c>
      <c r="C42" s="33"/>
      <c r="D42" s="30"/>
      <c r="E42" s="33"/>
      <c r="F42" s="55">
        <f t="shared" si="5"/>
        <v>350</v>
      </c>
      <c r="G42" s="56">
        <f>SUM(G43)</f>
        <v>350</v>
      </c>
      <c r="H42" s="56">
        <f>SUM(H43)</f>
        <v>0</v>
      </c>
      <c r="I42" s="57">
        <f t="shared" si="6"/>
        <v>350</v>
      </c>
      <c r="J42" s="58">
        <f>SUM(J43)</f>
        <v>350</v>
      </c>
      <c r="K42" s="270">
        <f>SUM(K43)</f>
        <v>0</v>
      </c>
      <c r="L42" s="59">
        <f t="shared" si="7"/>
        <v>350</v>
      </c>
      <c r="M42" s="60">
        <f>SUM(M43)</f>
        <v>350</v>
      </c>
      <c r="N42" s="60">
        <f>SUM(N43)</f>
        <v>0</v>
      </c>
      <c r="O42" s="15"/>
      <c r="P42" s="15"/>
    </row>
    <row r="43" spans="1:16" s="11" customFormat="1" ht="41.25">
      <c r="A43" s="94" t="s">
        <v>245</v>
      </c>
      <c r="B43" s="187" t="s">
        <v>246</v>
      </c>
      <c r="C43" s="33" t="s">
        <v>238</v>
      </c>
      <c r="D43" s="33" t="s">
        <v>325</v>
      </c>
      <c r="E43" s="33" t="s">
        <v>219</v>
      </c>
      <c r="F43" s="55">
        <f t="shared" si="5"/>
        <v>350</v>
      </c>
      <c r="G43" s="55">
        <f>350</f>
        <v>350</v>
      </c>
      <c r="H43" s="55"/>
      <c r="I43" s="57">
        <f t="shared" si="6"/>
        <v>350</v>
      </c>
      <c r="J43" s="57">
        <f>350</f>
        <v>350</v>
      </c>
      <c r="K43" s="274"/>
      <c r="L43" s="59">
        <f t="shared" si="7"/>
        <v>350</v>
      </c>
      <c r="M43" s="59">
        <f>350</f>
        <v>350</v>
      </c>
      <c r="N43" s="59"/>
      <c r="O43" s="15"/>
      <c r="P43" s="15"/>
    </row>
    <row r="44" spans="1:14" s="28" customFormat="1" ht="27">
      <c r="A44" s="41" t="s">
        <v>269</v>
      </c>
      <c r="B44" s="194" t="s">
        <v>384</v>
      </c>
      <c r="C44" s="42"/>
      <c r="D44" s="42"/>
      <c r="E44" s="42"/>
      <c r="F44" s="73">
        <f t="shared" si="5"/>
        <v>735248</v>
      </c>
      <c r="G44" s="95">
        <f>SUM(G45,G47,G49,G51,G54,G56,G60,G62,G64,G68,G70,G72,G75)</f>
        <v>734887</v>
      </c>
      <c r="H44" s="95">
        <f>SUM(H45,H47,H49,H51,H54,H56,H60,H62,H64,H68,H70,H72,H75)</f>
        <v>361</v>
      </c>
      <c r="I44" s="91">
        <f t="shared" si="6"/>
        <v>462206</v>
      </c>
      <c r="J44" s="96">
        <f>SUM(J45,J47,J49,J51,J54,J56,J60,J62,J64,J68,J70,J72,J75)</f>
        <v>461845</v>
      </c>
      <c r="K44" s="96">
        <f>SUM(K45,K47,K49,K51,K54,K56,K60,K62,K64,K68,K70,K72,K75)</f>
        <v>361</v>
      </c>
      <c r="L44" s="92">
        <f t="shared" si="7"/>
        <v>363216</v>
      </c>
      <c r="M44" s="97">
        <f>SUM(M45,M47,M49,M51,M54,M56,M60,M62,M64,M68,M70,M72,M75)</f>
        <v>362855</v>
      </c>
      <c r="N44" s="97">
        <f>SUM(N45,N47,N49,N51,N54,N56,N60,N62,N64,N68,N70,N72,N75)</f>
        <v>361</v>
      </c>
    </row>
    <row r="45" spans="1:16" s="11" customFormat="1" ht="30" customHeight="1">
      <c r="A45" s="35" t="s">
        <v>335</v>
      </c>
      <c r="B45" s="186" t="s">
        <v>385</v>
      </c>
      <c r="C45" s="33"/>
      <c r="D45" s="30"/>
      <c r="E45" s="33"/>
      <c r="F45" s="55">
        <f t="shared" si="5"/>
        <v>141014</v>
      </c>
      <c r="G45" s="56">
        <f>SUM(G46)</f>
        <v>141014</v>
      </c>
      <c r="H45" s="56">
        <f>SUM(H46)</f>
        <v>0</v>
      </c>
      <c r="I45" s="57">
        <f t="shared" si="6"/>
        <v>146677</v>
      </c>
      <c r="J45" s="98">
        <f>SUM(J46)</f>
        <v>146677</v>
      </c>
      <c r="K45" s="98">
        <f>SUM(K46)</f>
        <v>0</v>
      </c>
      <c r="L45" s="59">
        <f t="shared" si="7"/>
        <v>150577</v>
      </c>
      <c r="M45" s="99">
        <f>SUM(M46)</f>
        <v>150577</v>
      </c>
      <c r="N45" s="99">
        <f>SUM(N46)</f>
        <v>0</v>
      </c>
      <c r="O45" s="15"/>
      <c r="P45" s="15"/>
    </row>
    <row r="46" spans="1:16" s="11" customFormat="1" ht="27">
      <c r="A46" s="100" t="s">
        <v>336</v>
      </c>
      <c r="B46" s="187" t="s">
        <v>337</v>
      </c>
      <c r="C46" s="33" t="s">
        <v>274</v>
      </c>
      <c r="D46" s="33" t="s">
        <v>325</v>
      </c>
      <c r="E46" s="33" t="s">
        <v>219</v>
      </c>
      <c r="F46" s="46">
        <f t="shared" si="5"/>
        <v>141014</v>
      </c>
      <c r="G46" s="51">
        <f>141014</f>
        <v>141014</v>
      </c>
      <c r="H46" s="51"/>
      <c r="I46" s="48">
        <f t="shared" si="6"/>
        <v>146677</v>
      </c>
      <c r="J46" s="52">
        <f>146677</f>
        <v>146677</v>
      </c>
      <c r="K46" s="269"/>
      <c r="L46" s="39">
        <f t="shared" si="7"/>
        <v>150577</v>
      </c>
      <c r="M46" s="53">
        <f>150577</f>
        <v>150577</v>
      </c>
      <c r="N46" s="53"/>
      <c r="O46" s="15"/>
      <c r="P46" s="15"/>
    </row>
    <row r="47" spans="1:16" s="11" customFormat="1" ht="41.25">
      <c r="A47" s="63" t="s">
        <v>338</v>
      </c>
      <c r="B47" s="186" t="s">
        <v>386</v>
      </c>
      <c r="C47" s="33"/>
      <c r="D47" s="30"/>
      <c r="E47" s="33"/>
      <c r="F47" s="55">
        <f t="shared" si="5"/>
        <v>167246</v>
      </c>
      <c r="G47" s="56">
        <f>SUM(G48)</f>
        <v>167246</v>
      </c>
      <c r="H47" s="56">
        <f>SUM(H48)</f>
        <v>0</v>
      </c>
      <c r="I47" s="57">
        <f t="shared" si="6"/>
        <v>175498</v>
      </c>
      <c r="J47" s="98">
        <f>SUM(J48)</f>
        <v>175498</v>
      </c>
      <c r="K47" s="98">
        <f>SUM(K48)</f>
        <v>0</v>
      </c>
      <c r="L47" s="59">
        <f t="shared" si="7"/>
        <v>181207</v>
      </c>
      <c r="M47" s="99">
        <f>SUM(M48)</f>
        <v>181207</v>
      </c>
      <c r="N47" s="99">
        <f>SUM(N48)</f>
        <v>0</v>
      </c>
      <c r="O47" s="15"/>
      <c r="P47" s="15"/>
    </row>
    <row r="48" spans="1:16" s="11" customFormat="1" ht="27">
      <c r="A48" s="100" t="s">
        <v>339</v>
      </c>
      <c r="B48" s="187" t="s">
        <v>340</v>
      </c>
      <c r="C48" s="33" t="s">
        <v>274</v>
      </c>
      <c r="D48" s="33" t="s">
        <v>325</v>
      </c>
      <c r="E48" s="33" t="s">
        <v>219</v>
      </c>
      <c r="F48" s="46">
        <f aca="true" t="shared" si="8" ref="F48:F76">SUM(G48:H48)</f>
        <v>167246</v>
      </c>
      <c r="G48" s="51">
        <f>167246</f>
        <v>167246</v>
      </c>
      <c r="H48" s="51"/>
      <c r="I48" s="48">
        <f aca="true" t="shared" si="9" ref="I48:I76">SUM(J48:K48)</f>
        <v>175498</v>
      </c>
      <c r="J48" s="52">
        <f>175498</f>
        <v>175498</v>
      </c>
      <c r="K48" s="269"/>
      <c r="L48" s="39">
        <f aca="true" t="shared" si="10" ref="L48:L76">SUM(M48:N48)</f>
        <v>181207</v>
      </c>
      <c r="M48" s="53">
        <f>181207</f>
        <v>181207</v>
      </c>
      <c r="N48" s="53"/>
      <c r="O48" s="15"/>
      <c r="P48" s="15"/>
    </row>
    <row r="49" spans="1:14" s="11" customFormat="1" ht="54.75">
      <c r="A49" s="223" t="s">
        <v>342</v>
      </c>
      <c r="B49" s="224" t="s">
        <v>344</v>
      </c>
      <c r="C49" s="225"/>
      <c r="D49" s="226"/>
      <c r="E49" s="225"/>
      <c r="F49" s="116">
        <f t="shared" si="8"/>
        <v>0</v>
      </c>
      <c r="G49" s="117">
        <f>SUM(G50)</f>
        <v>0</v>
      </c>
      <c r="H49" s="117">
        <f>SUM(H50)</f>
        <v>0</v>
      </c>
      <c r="I49" s="177">
        <f t="shared" si="9"/>
        <v>0</v>
      </c>
      <c r="J49" s="119">
        <f>SUM(J50)</f>
        <v>0</v>
      </c>
      <c r="K49" s="119">
        <f>SUM(K50)</f>
        <v>0</v>
      </c>
      <c r="L49" s="179">
        <f t="shared" si="10"/>
        <v>0</v>
      </c>
      <c r="M49" s="121">
        <f>SUM(M50)</f>
        <v>0</v>
      </c>
      <c r="N49" s="121">
        <f>SUM(N50)</f>
        <v>0</v>
      </c>
    </row>
    <row r="50" spans="1:14" s="11" customFormat="1" ht="27">
      <c r="A50" s="220" t="s">
        <v>452</v>
      </c>
      <c r="B50" s="221" t="s">
        <v>343</v>
      </c>
      <c r="C50" s="222" t="s">
        <v>238</v>
      </c>
      <c r="D50" s="222" t="s">
        <v>240</v>
      </c>
      <c r="E50" s="222" t="s">
        <v>248</v>
      </c>
      <c r="F50" s="116">
        <f t="shared" si="8"/>
        <v>0</v>
      </c>
      <c r="G50" s="117"/>
      <c r="H50" s="117"/>
      <c r="I50" s="177">
        <f t="shared" si="9"/>
        <v>0</v>
      </c>
      <c r="J50" s="178"/>
      <c r="K50" s="275"/>
      <c r="L50" s="179">
        <f t="shared" si="10"/>
        <v>0</v>
      </c>
      <c r="M50" s="180"/>
      <c r="N50" s="180"/>
    </row>
    <row r="51" spans="1:16" s="11" customFormat="1" ht="27">
      <c r="A51" s="35" t="s">
        <v>361</v>
      </c>
      <c r="B51" s="186" t="s">
        <v>387</v>
      </c>
      <c r="C51" s="33"/>
      <c r="D51" s="30"/>
      <c r="E51" s="33"/>
      <c r="F51" s="55">
        <f t="shared" si="8"/>
        <v>6730</v>
      </c>
      <c r="G51" s="56">
        <f>SUM(G52,G53)</f>
        <v>6730</v>
      </c>
      <c r="H51" s="56">
        <f>SUM(H52,H53)</f>
        <v>0</v>
      </c>
      <c r="I51" s="101">
        <f t="shared" si="9"/>
        <v>6730</v>
      </c>
      <c r="J51" s="98">
        <f>SUM(J52,J53)</f>
        <v>6730</v>
      </c>
      <c r="K51" s="98">
        <f>SUM(K52,K53)</f>
        <v>0</v>
      </c>
      <c r="L51" s="102">
        <f t="shared" si="10"/>
        <v>6730</v>
      </c>
      <c r="M51" s="99">
        <f>SUM(M52,M53)</f>
        <v>6730</v>
      </c>
      <c r="N51" s="99">
        <f>SUM(N52,N53)</f>
        <v>0</v>
      </c>
      <c r="O51" s="15"/>
      <c r="P51" s="15"/>
    </row>
    <row r="52" spans="1:16" s="11" customFormat="1" ht="13.5">
      <c r="A52" s="100" t="s">
        <v>362</v>
      </c>
      <c r="B52" s="187" t="s">
        <v>363</v>
      </c>
      <c r="C52" s="33" t="s">
        <v>355</v>
      </c>
      <c r="D52" s="33" t="s">
        <v>325</v>
      </c>
      <c r="E52" s="33" t="s">
        <v>325</v>
      </c>
      <c r="F52" s="55">
        <f t="shared" si="8"/>
        <v>0</v>
      </c>
      <c r="G52" s="56"/>
      <c r="H52" s="56"/>
      <c r="I52" s="57">
        <f t="shared" si="9"/>
        <v>0</v>
      </c>
      <c r="J52" s="98"/>
      <c r="K52" s="98"/>
      <c r="L52" s="59">
        <f t="shared" si="10"/>
        <v>0</v>
      </c>
      <c r="M52" s="99"/>
      <c r="N52" s="99"/>
      <c r="O52" s="15"/>
      <c r="P52" s="15"/>
    </row>
    <row r="53" spans="1:16" s="11" customFormat="1" ht="13.5">
      <c r="A53" s="100" t="s">
        <v>362</v>
      </c>
      <c r="B53" s="187" t="s">
        <v>363</v>
      </c>
      <c r="C53" s="33" t="s">
        <v>274</v>
      </c>
      <c r="D53" s="33" t="s">
        <v>251</v>
      </c>
      <c r="E53" s="33" t="s">
        <v>218</v>
      </c>
      <c r="F53" s="46">
        <f t="shared" si="8"/>
        <v>6730</v>
      </c>
      <c r="G53" s="51">
        <f>6730</f>
        <v>6730</v>
      </c>
      <c r="H53" s="51"/>
      <c r="I53" s="48">
        <f t="shared" si="9"/>
        <v>6730</v>
      </c>
      <c r="J53" s="52">
        <f>6730</f>
        <v>6730</v>
      </c>
      <c r="K53" s="269"/>
      <c r="L53" s="39">
        <f t="shared" si="10"/>
        <v>6730</v>
      </c>
      <c r="M53" s="53">
        <f>6730</f>
        <v>6730</v>
      </c>
      <c r="N53" s="53"/>
      <c r="O53" s="15"/>
      <c r="P53" s="15"/>
    </row>
    <row r="54" spans="1:16" s="11" customFormat="1" ht="41.25">
      <c r="A54" s="63" t="s">
        <v>341</v>
      </c>
      <c r="B54" s="186" t="s">
        <v>388</v>
      </c>
      <c r="C54" s="33"/>
      <c r="D54" s="30"/>
      <c r="E54" s="33"/>
      <c r="F54" s="55">
        <f t="shared" si="8"/>
        <v>16247</v>
      </c>
      <c r="G54" s="56">
        <f>SUM(G55)</f>
        <v>16247</v>
      </c>
      <c r="H54" s="56">
        <f>SUM(H55)</f>
        <v>0</v>
      </c>
      <c r="I54" s="57">
        <f t="shared" si="9"/>
        <v>17385</v>
      </c>
      <c r="J54" s="98">
        <f>SUM(J55)</f>
        <v>17385</v>
      </c>
      <c r="K54" s="98">
        <f>SUM(K55)</f>
        <v>0</v>
      </c>
      <c r="L54" s="59">
        <f t="shared" si="10"/>
        <v>17786</v>
      </c>
      <c r="M54" s="99">
        <f>SUM(M55)</f>
        <v>17786</v>
      </c>
      <c r="N54" s="99">
        <f>SUM(N55)</f>
        <v>0</v>
      </c>
      <c r="O54" s="15"/>
      <c r="P54" s="15"/>
    </row>
    <row r="55" spans="1:16" s="11" customFormat="1" ht="41.25">
      <c r="A55" s="63" t="s">
        <v>284</v>
      </c>
      <c r="B55" s="187" t="s">
        <v>345</v>
      </c>
      <c r="C55" s="33" t="s">
        <v>274</v>
      </c>
      <c r="D55" s="33" t="s">
        <v>325</v>
      </c>
      <c r="E55" s="33" t="s">
        <v>219</v>
      </c>
      <c r="F55" s="46">
        <f t="shared" si="8"/>
        <v>16247</v>
      </c>
      <c r="G55" s="51">
        <f>16247</f>
        <v>16247</v>
      </c>
      <c r="H55" s="51"/>
      <c r="I55" s="48">
        <f t="shared" si="9"/>
        <v>17385</v>
      </c>
      <c r="J55" s="52">
        <f>17385</f>
        <v>17385</v>
      </c>
      <c r="K55" s="269"/>
      <c r="L55" s="39">
        <f t="shared" si="10"/>
        <v>17786</v>
      </c>
      <c r="M55" s="53">
        <f>17786</f>
        <v>17786</v>
      </c>
      <c r="N55" s="53"/>
      <c r="O55" s="15"/>
      <c r="P55" s="15"/>
    </row>
    <row r="56" spans="1:16" s="11" customFormat="1" ht="41.25">
      <c r="A56" s="63" t="s">
        <v>346</v>
      </c>
      <c r="B56" s="186" t="s">
        <v>389</v>
      </c>
      <c r="C56" s="33"/>
      <c r="D56" s="30"/>
      <c r="E56" s="33"/>
      <c r="F56" s="55">
        <f t="shared" si="8"/>
        <v>3071</v>
      </c>
      <c r="G56" s="56">
        <f>SUM(G57,G58,G59)</f>
        <v>3071</v>
      </c>
      <c r="H56" s="56">
        <f>SUM(H57,H58,H59)</f>
        <v>0</v>
      </c>
      <c r="I56" s="101">
        <f t="shared" si="9"/>
        <v>55</v>
      </c>
      <c r="J56" s="98">
        <f>SUM(J57,J58,J59)</f>
        <v>55</v>
      </c>
      <c r="K56" s="98">
        <f>SUM(K57,K58,K59)</f>
        <v>0</v>
      </c>
      <c r="L56" s="102">
        <f t="shared" si="10"/>
        <v>55</v>
      </c>
      <c r="M56" s="99">
        <f>SUM(M57,M58,M59)</f>
        <v>55</v>
      </c>
      <c r="N56" s="99">
        <f>SUM(N57,N58,N59)</f>
        <v>0</v>
      </c>
      <c r="O56" s="15"/>
      <c r="P56" s="15"/>
    </row>
    <row r="57" spans="1:14" s="11" customFormat="1" ht="27">
      <c r="A57" s="93" t="s">
        <v>347</v>
      </c>
      <c r="B57" s="187" t="s">
        <v>348</v>
      </c>
      <c r="C57" s="33" t="s">
        <v>238</v>
      </c>
      <c r="D57" s="33" t="s">
        <v>325</v>
      </c>
      <c r="E57" s="33" t="s">
        <v>219</v>
      </c>
      <c r="F57" s="55">
        <f t="shared" si="8"/>
        <v>1296</v>
      </c>
      <c r="G57" s="56">
        <f>1296</f>
        <v>1296</v>
      </c>
      <c r="H57" s="56"/>
      <c r="I57" s="57">
        <f t="shared" si="9"/>
        <v>55</v>
      </c>
      <c r="J57" s="58">
        <f>55</f>
        <v>55</v>
      </c>
      <c r="K57" s="270"/>
      <c r="L57" s="59">
        <f t="shared" si="10"/>
        <v>55</v>
      </c>
      <c r="M57" s="60">
        <f>55</f>
        <v>55</v>
      </c>
      <c r="N57" s="60"/>
    </row>
    <row r="58" spans="1:14" s="11" customFormat="1" ht="27">
      <c r="A58" s="93" t="s">
        <v>347</v>
      </c>
      <c r="B58" s="187" t="s">
        <v>348</v>
      </c>
      <c r="C58" s="33" t="s">
        <v>279</v>
      </c>
      <c r="D58" s="33" t="s">
        <v>325</v>
      </c>
      <c r="E58" s="33" t="s">
        <v>219</v>
      </c>
      <c r="F58" s="55">
        <f>SUM(G58:H58)</f>
        <v>1775</v>
      </c>
      <c r="G58" s="56">
        <f>1775</f>
        <v>1775</v>
      </c>
      <c r="H58" s="56"/>
      <c r="I58" s="57">
        <f>SUM(J58:K58)</f>
        <v>0</v>
      </c>
      <c r="J58" s="58"/>
      <c r="K58" s="270"/>
      <c r="L58" s="59">
        <f>SUM(M58:N58)</f>
        <v>0</v>
      </c>
      <c r="M58" s="60"/>
      <c r="N58" s="60"/>
    </row>
    <row r="59" spans="1:14" s="11" customFormat="1" ht="41.25">
      <c r="A59" s="115" t="s">
        <v>772</v>
      </c>
      <c r="B59" s="181" t="s">
        <v>260</v>
      </c>
      <c r="C59" s="12" t="s">
        <v>279</v>
      </c>
      <c r="D59" s="33" t="s">
        <v>325</v>
      </c>
      <c r="E59" s="33" t="s">
        <v>219</v>
      </c>
      <c r="F59" s="116">
        <f>SUM(G59:H59)</f>
        <v>0</v>
      </c>
      <c r="G59" s="117"/>
      <c r="H59" s="117"/>
      <c r="I59" s="118">
        <f t="shared" si="9"/>
        <v>0</v>
      </c>
      <c r="J59" s="119"/>
      <c r="K59" s="119"/>
      <c r="L59" s="120">
        <f t="shared" si="10"/>
        <v>0</v>
      </c>
      <c r="M59" s="121"/>
      <c r="N59" s="121"/>
    </row>
    <row r="60" spans="1:16" s="11" customFormat="1" ht="69">
      <c r="A60" s="54" t="s">
        <v>349</v>
      </c>
      <c r="B60" s="186" t="s">
        <v>390</v>
      </c>
      <c r="C60" s="33"/>
      <c r="D60" s="30"/>
      <c r="E60" s="33"/>
      <c r="F60" s="55">
        <f t="shared" si="8"/>
        <v>361</v>
      </c>
      <c r="G60" s="56">
        <f>SUM(G61)</f>
        <v>0</v>
      </c>
      <c r="H60" s="56">
        <f>SUM(H61)</f>
        <v>361</v>
      </c>
      <c r="I60" s="57">
        <f t="shared" si="9"/>
        <v>361</v>
      </c>
      <c r="J60" s="98">
        <f>SUM(J61)</f>
        <v>0</v>
      </c>
      <c r="K60" s="98">
        <f>SUM(K61)</f>
        <v>361</v>
      </c>
      <c r="L60" s="59">
        <f t="shared" si="10"/>
        <v>361</v>
      </c>
      <c r="M60" s="99">
        <f>SUM(M61)</f>
        <v>0</v>
      </c>
      <c r="N60" s="99">
        <f>SUM(N61)</f>
        <v>361</v>
      </c>
      <c r="O60" s="15"/>
      <c r="P60" s="15"/>
    </row>
    <row r="61" spans="1:16" s="11" customFormat="1" ht="69">
      <c r="A61" s="93" t="s">
        <v>350</v>
      </c>
      <c r="B61" s="187" t="s">
        <v>351</v>
      </c>
      <c r="C61" s="33" t="s">
        <v>238</v>
      </c>
      <c r="D61" s="33" t="s">
        <v>325</v>
      </c>
      <c r="E61" s="33" t="s">
        <v>219</v>
      </c>
      <c r="F61" s="46">
        <f t="shared" si="8"/>
        <v>361</v>
      </c>
      <c r="G61" s="51"/>
      <c r="H61" s="51">
        <v>361</v>
      </c>
      <c r="I61" s="48">
        <f t="shared" si="9"/>
        <v>361</v>
      </c>
      <c r="J61" s="52"/>
      <c r="K61" s="269">
        <f>361</f>
        <v>361</v>
      </c>
      <c r="L61" s="39">
        <f t="shared" si="10"/>
        <v>361</v>
      </c>
      <c r="M61" s="53"/>
      <c r="N61" s="53">
        <f>361</f>
        <v>361</v>
      </c>
      <c r="O61" s="15"/>
      <c r="P61" s="15"/>
    </row>
    <row r="62" spans="1:16" s="11" customFormat="1" ht="27">
      <c r="A62" s="35" t="s">
        <v>352</v>
      </c>
      <c r="B62" s="187" t="s">
        <v>391</v>
      </c>
      <c r="C62" s="33"/>
      <c r="D62" s="30"/>
      <c r="E62" s="33"/>
      <c r="F62" s="55">
        <f t="shared" si="8"/>
        <v>500</v>
      </c>
      <c r="G62" s="55">
        <f>SUM(G63)</f>
        <v>500</v>
      </c>
      <c r="H62" s="55">
        <f>SUM(H63)</f>
        <v>0</v>
      </c>
      <c r="I62" s="57">
        <f t="shared" si="9"/>
        <v>500</v>
      </c>
      <c r="J62" s="101">
        <f>SUM(J63)</f>
        <v>500</v>
      </c>
      <c r="K62" s="101">
        <f>SUM(K63)</f>
        <v>0</v>
      </c>
      <c r="L62" s="59">
        <f t="shared" si="10"/>
        <v>500</v>
      </c>
      <c r="M62" s="102">
        <f>SUM(M63)</f>
        <v>500</v>
      </c>
      <c r="N62" s="102">
        <f>SUM(N63)</f>
        <v>0</v>
      </c>
      <c r="O62" s="15"/>
      <c r="P62" s="15"/>
    </row>
    <row r="63" spans="1:16" s="11" customFormat="1" ht="13.5">
      <c r="A63" s="94" t="s">
        <v>353</v>
      </c>
      <c r="B63" s="187" t="s">
        <v>354</v>
      </c>
      <c r="C63" s="33" t="s">
        <v>238</v>
      </c>
      <c r="D63" s="33" t="s">
        <v>325</v>
      </c>
      <c r="E63" s="33" t="s">
        <v>219</v>
      </c>
      <c r="F63" s="55">
        <f t="shared" si="8"/>
        <v>500</v>
      </c>
      <c r="G63" s="55">
        <f>500</f>
        <v>500</v>
      </c>
      <c r="H63" s="55"/>
      <c r="I63" s="57">
        <f t="shared" si="9"/>
        <v>500</v>
      </c>
      <c r="J63" s="57">
        <f>500</f>
        <v>500</v>
      </c>
      <c r="K63" s="274"/>
      <c r="L63" s="59">
        <f t="shared" si="10"/>
        <v>500</v>
      </c>
      <c r="M63" s="59">
        <f>500</f>
        <v>500</v>
      </c>
      <c r="N63" s="59"/>
      <c r="O63" s="15"/>
      <c r="P63" s="15"/>
    </row>
    <row r="64" spans="1:14" s="11" customFormat="1" ht="33" customHeight="1">
      <c r="A64" s="103" t="s">
        <v>221</v>
      </c>
      <c r="B64" s="189" t="s">
        <v>220</v>
      </c>
      <c r="C64" s="30"/>
      <c r="D64" s="33"/>
      <c r="E64" s="33"/>
      <c r="F64" s="55">
        <f t="shared" si="8"/>
        <v>0</v>
      </c>
      <c r="G64" s="55">
        <f>SUM(G65,G66,G67)</f>
        <v>0</v>
      </c>
      <c r="H64" s="55">
        <f>SUM(H65,H66,H67)</f>
        <v>0</v>
      </c>
      <c r="I64" s="101">
        <f t="shared" si="9"/>
        <v>0</v>
      </c>
      <c r="J64" s="101">
        <f>SUM(J65,J66,J67)</f>
        <v>0</v>
      </c>
      <c r="K64" s="101">
        <f>SUM(K65,K66,K67)</f>
        <v>0</v>
      </c>
      <c r="L64" s="102">
        <f t="shared" si="10"/>
        <v>0</v>
      </c>
      <c r="M64" s="102">
        <f>SUM(M65,M66,M67)</f>
        <v>0</v>
      </c>
      <c r="N64" s="102">
        <f>SUM(N65,N66,N67)</f>
        <v>0</v>
      </c>
    </row>
    <row r="65" spans="1:14" s="9" customFormat="1" ht="27">
      <c r="A65" s="174" t="s">
        <v>549</v>
      </c>
      <c r="B65" s="175" t="s">
        <v>550</v>
      </c>
      <c r="C65" s="166" t="s">
        <v>238</v>
      </c>
      <c r="D65" s="166" t="s">
        <v>325</v>
      </c>
      <c r="E65" s="240" t="s">
        <v>219</v>
      </c>
      <c r="F65" s="46">
        <f>SUM(G65:H65)</f>
        <v>0</v>
      </c>
      <c r="G65" s="51"/>
      <c r="H65" s="51"/>
      <c r="I65" s="48">
        <f>SUM(J65:K65)</f>
        <v>0</v>
      </c>
      <c r="J65" s="52"/>
      <c r="K65" s="269"/>
      <c r="L65" s="39">
        <f>SUM(M65:N65)</f>
        <v>0</v>
      </c>
      <c r="M65" s="53"/>
      <c r="N65" s="53"/>
    </row>
    <row r="66" spans="1:14" s="9" customFormat="1" ht="27">
      <c r="A66" s="229" t="s">
        <v>452</v>
      </c>
      <c r="B66" s="239" t="s">
        <v>655</v>
      </c>
      <c r="C66" s="166" t="s">
        <v>238</v>
      </c>
      <c r="D66" s="166" t="s">
        <v>325</v>
      </c>
      <c r="E66" s="240" t="s">
        <v>219</v>
      </c>
      <c r="F66" s="46">
        <f>SUM(G66:H66)</f>
        <v>0</v>
      </c>
      <c r="G66" s="51"/>
      <c r="H66" s="51"/>
      <c r="I66" s="48">
        <f>SUM(J66:K66)</f>
        <v>0</v>
      </c>
      <c r="J66" s="52"/>
      <c r="K66" s="269"/>
      <c r="L66" s="39">
        <f>SUM(M66:N66)</f>
        <v>0</v>
      </c>
      <c r="M66" s="53"/>
      <c r="N66" s="53"/>
    </row>
    <row r="67" spans="1:14" s="11" customFormat="1" ht="46.5" customHeight="1">
      <c r="A67" s="93" t="s">
        <v>277</v>
      </c>
      <c r="B67" s="187" t="s">
        <v>193</v>
      </c>
      <c r="C67" s="33" t="s">
        <v>279</v>
      </c>
      <c r="D67" s="33" t="s">
        <v>325</v>
      </c>
      <c r="E67" s="241" t="s">
        <v>219</v>
      </c>
      <c r="F67" s="55">
        <f t="shared" si="8"/>
        <v>0</v>
      </c>
      <c r="G67" s="55"/>
      <c r="H67" s="55"/>
      <c r="I67" s="57">
        <f t="shared" si="9"/>
        <v>0</v>
      </c>
      <c r="J67" s="57"/>
      <c r="K67" s="274"/>
      <c r="L67" s="59">
        <f t="shared" si="10"/>
        <v>0</v>
      </c>
      <c r="M67" s="59"/>
      <c r="N67" s="59"/>
    </row>
    <row r="68" spans="1:14" s="21" customFormat="1" ht="69">
      <c r="A68" s="217" t="s">
        <v>658</v>
      </c>
      <c r="B68" s="249" t="s">
        <v>659</v>
      </c>
      <c r="C68" s="242"/>
      <c r="D68" s="242"/>
      <c r="E68" s="242"/>
      <c r="F68" s="243">
        <f t="shared" si="8"/>
        <v>0</v>
      </c>
      <c r="G68" s="244">
        <f>SUM(G69)</f>
        <v>0</v>
      </c>
      <c r="H68" s="244">
        <f>SUM(H69)</f>
        <v>0</v>
      </c>
      <c r="I68" s="245">
        <f t="shared" si="9"/>
        <v>0</v>
      </c>
      <c r="J68" s="246">
        <f>SUM(J69)</f>
        <v>0</v>
      </c>
      <c r="K68" s="246">
        <f>SUM(K69)</f>
        <v>0</v>
      </c>
      <c r="L68" s="247">
        <f t="shared" si="10"/>
        <v>0</v>
      </c>
      <c r="M68" s="248">
        <f>SUM(M69)</f>
        <v>0</v>
      </c>
      <c r="N68" s="248">
        <f>SUM(N69)</f>
        <v>0</v>
      </c>
    </row>
    <row r="69" spans="1:14" s="11" customFormat="1" ht="42" customHeight="1">
      <c r="A69" s="217" t="s">
        <v>656</v>
      </c>
      <c r="B69" s="250" t="s">
        <v>657</v>
      </c>
      <c r="C69" s="242" t="s">
        <v>238</v>
      </c>
      <c r="D69" s="242" t="s">
        <v>325</v>
      </c>
      <c r="E69" s="242" t="s">
        <v>325</v>
      </c>
      <c r="F69" s="243">
        <f t="shared" si="8"/>
        <v>0</v>
      </c>
      <c r="G69" s="244"/>
      <c r="H69" s="244"/>
      <c r="I69" s="245">
        <f t="shared" si="9"/>
        <v>0</v>
      </c>
      <c r="J69" s="246"/>
      <c r="K69" s="246"/>
      <c r="L69" s="247">
        <f t="shared" si="10"/>
        <v>0</v>
      </c>
      <c r="M69" s="248"/>
      <c r="N69" s="248"/>
    </row>
    <row r="70" spans="1:16" s="11" customFormat="1" ht="27">
      <c r="A70" s="54" t="s">
        <v>197</v>
      </c>
      <c r="B70" s="186" t="s">
        <v>222</v>
      </c>
      <c r="C70" s="33"/>
      <c r="D70" s="33"/>
      <c r="E70" s="33"/>
      <c r="F70" s="55">
        <f t="shared" si="8"/>
        <v>0</v>
      </c>
      <c r="G70" s="56">
        <f>SUM(G71)</f>
        <v>0</v>
      </c>
      <c r="H70" s="56">
        <f>SUM(H71)</f>
        <v>0</v>
      </c>
      <c r="I70" s="101">
        <f t="shared" si="9"/>
        <v>0</v>
      </c>
      <c r="J70" s="98">
        <f>SUM(J71)</f>
        <v>0</v>
      </c>
      <c r="K70" s="98">
        <f>SUM(K71)</f>
        <v>0</v>
      </c>
      <c r="L70" s="102">
        <f t="shared" si="10"/>
        <v>0</v>
      </c>
      <c r="M70" s="99">
        <f>SUM(M71)</f>
        <v>0</v>
      </c>
      <c r="N70" s="99">
        <f>SUM(N71)</f>
        <v>0</v>
      </c>
      <c r="O70" s="15"/>
      <c r="P70" s="15"/>
    </row>
    <row r="71" spans="1:16" s="11" customFormat="1" ht="41.25">
      <c r="A71" s="54" t="s">
        <v>277</v>
      </c>
      <c r="B71" s="187" t="s">
        <v>196</v>
      </c>
      <c r="C71" s="33" t="s">
        <v>279</v>
      </c>
      <c r="D71" s="33" t="s">
        <v>325</v>
      </c>
      <c r="E71" s="33" t="s">
        <v>219</v>
      </c>
      <c r="F71" s="55">
        <f t="shared" si="8"/>
        <v>0</v>
      </c>
      <c r="G71" s="56"/>
      <c r="H71" s="56"/>
      <c r="I71" s="101">
        <f t="shared" si="9"/>
        <v>0</v>
      </c>
      <c r="J71" s="98"/>
      <c r="K71" s="98"/>
      <c r="L71" s="102">
        <f t="shared" si="10"/>
        <v>0</v>
      </c>
      <c r="M71" s="99"/>
      <c r="N71" s="99"/>
      <c r="O71" s="15"/>
      <c r="P71" s="15"/>
    </row>
    <row r="72" spans="1:16" s="11" customFormat="1" ht="54.75">
      <c r="A72" s="54" t="s">
        <v>357</v>
      </c>
      <c r="B72" s="186" t="s">
        <v>392</v>
      </c>
      <c r="C72" s="33"/>
      <c r="D72" s="30"/>
      <c r="E72" s="33"/>
      <c r="F72" s="55">
        <f t="shared" si="8"/>
        <v>0</v>
      </c>
      <c r="G72" s="56">
        <f>SUM(G73,G74)</f>
        <v>0</v>
      </c>
      <c r="H72" s="56">
        <f>SUM(H73,H74)</f>
        <v>0</v>
      </c>
      <c r="I72" s="101">
        <f t="shared" si="9"/>
        <v>0</v>
      </c>
      <c r="J72" s="98">
        <f>SUM(J73,J74)</f>
        <v>0</v>
      </c>
      <c r="K72" s="98">
        <f>SUM(K73,K74)</f>
        <v>0</v>
      </c>
      <c r="L72" s="102">
        <f t="shared" si="10"/>
        <v>0</v>
      </c>
      <c r="M72" s="99">
        <f>SUM(M73,M74)</f>
        <v>0</v>
      </c>
      <c r="N72" s="99">
        <f>SUM(N73,N74)</f>
        <v>0</v>
      </c>
      <c r="O72" s="15"/>
      <c r="P72" s="15"/>
    </row>
    <row r="73" spans="1:16" s="11" customFormat="1" ht="54.75">
      <c r="A73" s="54" t="s">
        <v>194</v>
      </c>
      <c r="B73" s="187" t="s">
        <v>195</v>
      </c>
      <c r="C73" s="33" t="s">
        <v>238</v>
      </c>
      <c r="D73" s="33" t="s">
        <v>325</v>
      </c>
      <c r="E73" s="33" t="s">
        <v>219</v>
      </c>
      <c r="F73" s="46">
        <f t="shared" si="8"/>
        <v>0</v>
      </c>
      <c r="G73" s="51"/>
      <c r="H73" s="51"/>
      <c r="I73" s="88">
        <f t="shared" si="9"/>
        <v>0</v>
      </c>
      <c r="J73" s="104"/>
      <c r="K73" s="104"/>
      <c r="L73" s="89">
        <f t="shared" si="10"/>
        <v>0</v>
      </c>
      <c r="M73" s="105"/>
      <c r="N73" s="105"/>
      <c r="O73" s="15"/>
      <c r="P73" s="15"/>
    </row>
    <row r="74" spans="1:16" s="11" customFormat="1" ht="54.75">
      <c r="A74" s="54" t="s">
        <v>262</v>
      </c>
      <c r="B74" s="186" t="s">
        <v>261</v>
      </c>
      <c r="C74" s="33" t="s">
        <v>238</v>
      </c>
      <c r="D74" s="33" t="s">
        <v>325</v>
      </c>
      <c r="E74" s="33" t="s">
        <v>219</v>
      </c>
      <c r="F74" s="55">
        <f t="shared" si="8"/>
        <v>0</v>
      </c>
      <c r="G74" s="56"/>
      <c r="H74" s="56"/>
      <c r="I74" s="101">
        <f t="shared" si="9"/>
        <v>0</v>
      </c>
      <c r="J74" s="98"/>
      <c r="K74" s="98"/>
      <c r="L74" s="102">
        <f t="shared" si="10"/>
        <v>0</v>
      </c>
      <c r="M74" s="99"/>
      <c r="N74" s="99"/>
      <c r="O74" s="15"/>
      <c r="P74" s="15"/>
    </row>
    <row r="75" spans="1:14" s="28" customFormat="1" ht="54.75">
      <c r="A75" s="54" t="s">
        <v>208</v>
      </c>
      <c r="B75" s="186" t="s">
        <v>393</v>
      </c>
      <c r="C75" s="33"/>
      <c r="D75" s="30"/>
      <c r="E75" s="33"/>
      <c r="F75" s="55">
        <f t="shared" si="8"/>
        <v>400079</v>
      </c>
      <c r="G75" s="56">
        <f>SUM(G76)</f>
        <v>400079</v>
      </c>
      <c r="H75" s="56">
        <f>SUM(H76)</f>
        <v>0</v>
      </c>
      <c r="I75" s="101">
        <f t="shared" si="9"/>
        <v>115000</v>
      </c>
      <c r="J75" s="98">
        <f>SUM(J76)</f>
        <v>115000</v>
      </c>
      <c r="K75" s="98">
        <f>SUM(K76)</f>
        <v>0</v>
      </c>
      <c r="L75" s="102">
        <f t="shared" si="10"/>
        <v>6000</v>
      </c>
      <c r="M75" s="99">
        <f>SUM(M76)</f>
        <v>6000</v>
      </c>
      <c r="N75" s="99">
        <f>SUM(N76)</f>
        <v>0</v>
      </c>
    </row>
    <row r="76" spans="1:16" s="11" customFormat="1" ht="27">
      <c r="A76" s="54" t="s">
        <v>275</v>
      </c>
      <c r="B76" s="187" t="s">
        <v>192</v>
      </c>
      <c r="C76" s="33" t="s">
        <v>238</v>
      </c>
      <c r="D76" s="33" t="s">
        <v>240</v>
      </c>
      <c r="E76" s="33" t="s">
        <v>248</v>
      </c>
      <c r="F76" s="167">
        <f t="shared" si="8"/>
        <v>400079</v>
      </c>
      <c r="G76" s="168">
        <f>400079</f>
        <v>400079</v>
      </c>
      <c r="H76" s="168"/>
      <c r="I76" s="169">
        <f t="shared" si="9"/>
        <v>115000</v>
      </c>
      <c r="J76" s="170">
        <f>70000+45000</f>
        <v>115000</v>
      </c>
      <c r="K76" s="170"/>
      <c r="L76" s="171">
        <f t="shared" si="10"/>
        <v>6000</v>
      </c>
      <c r="M76" s="135">
        <f>80000-74000</f>
        <v>6000</v>
      </c>
      <c r="N76" s="135"/>
      <c r="O76" s="15"/>
      <c r="P76" s="15"/>
    </row>
    <row r="77" spans="1:16" s="11" customFormat="1" ht="27">
      <c r="A77" s="106" t="s">
        <v>323</v>
      </c>
      <c r="B77" s="183" t="s">
        <v>394</v>
      </c>
      <c r="C77" s="42"/>
      <c r="D77" s="42"/>
      <c r="E77" s="42"/>
      <c r="F77" s="73">
        <f aca="true" t="shared" si="11" ref="F77:F98">SUM(G77:H77)</f>
        <v>52188</v>
      </c>
      <c r="G77" s="95">
        <f>SUM(G78)</f>
        <v>52188</v>
      </c>
      <c r="H77" s="95">
        <f>SUM(H78)</f>
        <v>0</v>
      </c>
      <c r="I77" s="44">
        <f aca="true" t="shared" si="12" ref="I77:I86">SUM(J77:K77)</f>
        <v>53751</v>
      </c>
      <c r="J77" s="96">
        <f>SUM(J78)</f>
        <v>53751</v>
      </c>
      <c r="K77" s="96">
        <f>SUM(K78)</f>
        <v>0</v>
      </c>
      <c r="L77" s="45">
        <f aca="true" t="shared" si="13" ref="L77:L86">SUM(M77:N77)</f>
        <v>55221</v>
      </c>
      <c r="M77" s="97">
        <f>SUM(M78)</f>
        <v>55221</v>
      </c>
      <c r="N77" s="97">
        <f>SUM(N78)</f>
        <v>0</v>
      </c>
      <c r="O77" s="15"/>
      <c r="P77" s="15"/>
    </row>
    <row r="78" spans="1:16" s="11" customFormat="1" ht="41.25">
      <c r="A78" s="107" t="s">
        <v>249</v>
      </c>
      <c r="B78" s="186" t="s">
        <v>395</v>
      </c>
      <c r="C78" s="33"/>
      <c r="D78" s="30"/>
      <c r="E78" s="33"/>
      <c r="F78" s="55">
        <f>SUM(G78:H78)</f>
        <v>52188</v>
      </c>
      <c r="G78" s="56">
        <f>SUM(G79,G80,G81,G82,G83,G84,G85,G86)</f>
        <v>52188</v>
      </c>
      <c r="H78" s="56">
        <f>SUM(H79,H80,H81,H82,H83,H84,H85,H86)</f>
        <v>0</v>
      </c>
      <c r="I78" s="101">
        <f>SUM(J78:K78)</f>
        <v>53751</v>
      </c>
      <c r="J78" s="98">
        <f>SUM(J79,J80,J81,J82,J83,J84,J85,J86)</f>
        <v>53751</v>
      </c>
      <c r="K78" s="98">
        <f>SUM(K79,K80,K81,K82,K83,K84,K85,K86)</f>
        <v>0</v>
      </c>
      <c r="L78" s="102">
        <f>SUM(M78:N78)</f>
        <v>55221</v>
      </c>
      <c r="M78" s="99">
        <f>SUM(M79,M80,M81,M82,M83,M84,M85,M86)</f>
        <v>55221</v>
      </c>
      <c r="N78" s="99">
        <f>SUM(N79,N80,N81,N82,N83,N84,N85,N86)</f>
        <v>0</v>
      </c>
      <c r="O78" s="15"/>
      <c r="P78" s="15"/>
    </row>
    <row r="79" spans="1:16" s="11" customFormat="1" ht="41.25">
      <c r="A79" s="108" t="s">
        <v>247</v>
      </c>
      <c r="B79" s="187" t="s">
        <v>333</v>
      </c>
      <c r="C79" s="32">
        <v>100</v>
      </c>
      <c r="D79" s="33" t="s">
        <v>325</v>
      </c>
      <c r="E79" s="33" t="s">
        <v>219</v>
      </c>
      <c r="F79" s="46">
        <f t="shared" si="11"/>
        <v>17511</v>
      </c>
      <c r="G79" s="46">
        <f>17511</f>
        <v>17511</v>
      </c>
      <c r="H79" s="46"/>
      <c r="I79" s="48">
        <f t="shared" si="12"/>
        <v>18193</v>
      </c>
      <c r="J79" s="48">
        <f>18193</f>
        <v>18193</v>
      </c>
      <c r="K79" s="273"/>
      <c r="L79" s="39">
        <f t="shared" si="13"/>
        <v>18761</v>
      </c>
      <c r="M79" s="39">
        <f>18761</f>
        <v>18761</v>
      </c>
      <c r="N79" s="39"/>
      <c r="O79" s="15"/>
      <c r="P79" s="15"/>
    </row>
    <row r="80" spans="1:16" s="11" customFormat="1" ht="41.25">
      <c r="A80" s="108" t="s">
        <v>247</v>
      </c>
      <c r="B80" s="187" t="s">
        <v>333</v>
      </c>
      <c r="C80" s="32">
        <v>200</v>
      </c>
      <c r="D80" s="33" t="s">
        <v>325</v>
      </c>
      <c r="E80" s="33" t="s">
        <v>219</v>
      </c>
      <c r="F80" s="167">
        <f t="shared" si="11"/>
        <v>5317</v>
      </c>
      <c r="G80" s="168">
        <f>5317</f>
        <v>5317</v>
      </c>
      <c r="H80" s="168"/>
      <c r="I80" s="213">
        <f t="shared" si="12"/>
        <v>5245</v>
      </c>
      <c r="J80" s="281">
        <f>5245</f>
        <v>5245</v>
      </c>
      <c r="K80" s="282"/>
      <c r="L80" s="214">
        <f t="shared" si="13"/>
        <v>5295</v>
      </c>
      <c r="M80" s="283">
        <f>5295</f>
        <v>5295</v>
      </c>
      <c r="N80" s="283"/>
      <c r="O80" s="15"/>
      <c r="P80" s="15"/>
    </row>
    <row r="81" spans="1:16" s="11" customFormat="1" ht="41.25">
      <c r="A81" s="108" t="s">
        <v>247</v>
      </c>
      <c r="B81" s="187" t="s">
        <v>333</v>
      </c>
      <c r="C81" s="32">
        <v>600</v>
      </c>
      <c r="D81" s="33" t="s">
        <v>325</v>
      </c>
      <c r="E81" s="33" t="s">
        <v>219</v>
      </c>
      <c r="F81" s="167">
        <f>SUM(G81:H81)</f>
        <v>305</v>
      </c>
      <c r="G81" s="168">
        <f>305</f>
        <v>305</v>
      </c>
      <c r="H81" s="168"/>
      <c r="I81" s="213">
        <f>SUM(J81:K81)</f>
        <v>0</v>
      </c>
      <c r="J81" s="281"/>
      <c r="K81" s="282"/>
      <c r="L81" s="214">
        <f>SUM(M81:N81)</f>
        <v>0</v>
      </c>
      <c r="M81" s="283"/>
      <c r="N81" s="283"/>
      <c r="O81" s="15"/>
      <c r="P81" s="15"/>
    </row>
    <row r="82" spans="1:16" s="11" customFormat="1" ht="41.25">
      <c r="A82" s="108" t="s">
        <v>247</v>
      </c>
      <c r="B82" s="187" t="s">
        <v>333</v>
      </c>
      <c r="C82" s="32">
        <v>800</v>
      </c>
      <c r="D82" s="33" t="s">
        <v>325</v>
      </c>
      <c r="E82" s="33" t="s">
        <v>219</v>
      </c>
      <c r="F82" s="167">
        <f t="shared" si="11"/>
        <v>118</v>
      </c>
      <c r="G82" s="168">
        <f>118</f>
        <v>118</v>
      </c>
      <c r="H82" s="168"/>
      <c r="I82" s="213">
        <f t="shared" si="12"/>
        <v>118</v>
      </c>
      <c r="J82" s="281">
        <f>118</f>
        <v>118</v>
      </c>
      <c r="K82" s="282"/>
      <c r="L82" s="214">
        <f t="shared" si="13"/>
        <v>118</v>
      </c>
      <c r="M82" s="283">
        <f>118</f>
        <v>118</v>
      </c>
      <c r="N82" s="283"/>
      <c r="O82" s="15"/>
      <c r="P82" s="15"/>
    </row>
    <row r="83" spans="1:16" s="11" customFormat="1" ht="41.25">
      <c r="A83" s="108" t="s">
        <v>247</v>
      </c>
      <c r="B83" s="187" t="s">
        <v>333</v>
      </c>
      <c r="C83" s="32">
        <v>100</v>
      </c>
      <c r="D83" s="33" t="s">
        <v>325</v>
      </c>
      <c r="E83" s="33" t="s">
        <v>325</v>
      </c>
      <c r="F83" s="167">
        <f t="shared" si="11"/>
        <v>22822</v>
      </c>
      <c r="G83" s="168">
        <f>22822</f>
        <v>22822</v>
      </c>
      <c r="H83" s="168"/>
      <c r="I83" s="213">
        <f t="shared" si="12"/>
        <v>23812</v>
      </c>
      <c r="J83" s="281">
        <f>23812</f>
        <v>23812</v>
      </c>
      <c r="K83" s="282"/>
      <c r="L83" s="214">
        <f t="shared" si="13"/>
        <v>24653</v>
      </c>
      <c r="M83" s="283">
        <f>24653</f>
        <v>24653</v>
      </c>
      <c r="N83" s="283"/>
      <c r="O83" s="15"/>
      <c r="P83" s="15"/>
    </row>
    <row r="84" spans="1:16" s="11" customFormat="1" ht="41.25">
      <c r="A84" s="108" t="s">
        <v>247</v>
      </c>
      <c r="B84" s="187" t="s">
        <v>333</v>
      </c>
      <c r="C84" s="32">
        <v>200</v>
      </c>
      <c r="D84" s="33" t="s">
        <v>325</v>
      </c>
      <c r="E84" s="33" t="s">
        <v>325</v>
      </c>
      <c r="F84" s="46">
        <f t="shared" si="11"/>
        <v>6030</v>
      </c>
      <c r="G84" s="46">
        <f>6030</f>
        <v>6030</v>
      </c>
      <c r="H84" s="46"/>
      <c r="I84" s="48">
        <f t="shared" si="12"/>
        <v>6288</v>
      </c>
      <c r="J84" s="48">
        <f>6288</f>
        <v>6288</v>
      </c>
      <c r="K84" s="273"/>
      <c r="L84" s="39">
        <f t="shared" si="13"/>
        <v>6299</v>
      </c>
      <c r="M84" s="39">
        <f>6299</f>
        <v>6299</v>
      </c>
      <c r="N84" s="39"/>
      <c r="O84" s="15"/>
      <c r="P84" s="15"/>
    </row>
    <row r="85" spans="1:16" s="11" customFormat="1" ht="41.25">
      <c r="A85" s="108" t="s">
        <v>247</v>
      </c>
      <c r="B85" s="187" t="s">
        <v>333</v>
      </c>
      <c r="C85" s="32">
        <v>600</v>
      </c>
      <c r="D85" s="33" t="s">
        <v>325</v>
      </c>
      <c r="E85" s="33" t="s">
        <v>325</v>
      </c>
      <c r="F85" s="68">
        <f t="shared" si="11"/>
        <v>0</v>
      </c>
      <c r="G85" s="69"/>
      <c r="H85" s="69"/>
      <c r="I85" s="83">
        <f t="shared" si="12"/>
        <v>0</v>
      </c>
      <c r="J85" s="109"/>
      <c r="K85" s="109"/>
      <c r="L85" s="84">
        <f t="shared" si="13"/>
        <v>0</v>
      </c>
      <c r="M85" s="110"/>
      <c r="N85" s="110"/>
      <c r="O85" s="15"/>
      <c r="P85" s="15"/>
    </row>
    <row r="86" spans="1:14" s="2" customFormat="1" ht="15" customHeight="1">
      <c r="A86" s="267" t="s">
        <v>738</v>
      </c>
      <c r="B86" s="176" t="s">
        <v>333</v>
      </c>
      <c r="C86" s="166" t="s">
        <v>239</v>
      </c>
      <c r="D86" s="33" t="s">
        <v>325</v>
      </c>
      <c r="E86" s="33" t="s">
        <v>325</v>
      </c>
      <c r="F86" s="68">
        <f t="shared" si="11"/>
        <v>85</v>
      </c>
      <c r="G86" s="167">
        <f>85</f>
        <v>85</v>
      </c>
      <c r="H86" s="69"/>
      <c r="I86" s="83">
        <f t="shared" si="12"/>
        <v>95</v>
      </c>
      <c r="J86" s="268">
        <f>95</f>
        <v>95</v>
      </c>
      <c r="K86" s="109"/>
      <c r="L86" s="84">
        <f t="shared" si="13"/>
        <v>95</v>
      </c>
      <c r="M86" s="110">
        <f>95</f>
        <v>95</v>
      </c>
      <c r="N86" s="110"/>
    </row>
    <row r="87" spans="1:14" s="28" customFormat="1" ht="13.5">
      <c r="A87" s="108"/>
      <c r="B87" s="187"/>
      <c r="C87" s="31"/>
      <c r="D87" s="31"/>
      <c r="E87" s="33"/>
      <c r="F87" s="46"/>
      <c r="G87" s="46"/>
      <c r="H87" s="46"/>
      <c r="I87" s="48"/>
      <c r="J87" s="48"/>
      <c r="K87" s="273"/>
      <c r="L87" s="39"/>
      <c r="M87" s="39"/>
      <c r="N87" s="39"/>
    </row>
    <row r="88" spans="1:16" s="11" customFormat="1" ht="41.25">
      <c r="A88" s="106" t="s">
        <v>252</v>
      </c>
      <c r="B88" s="194" t="s">
        <v>219</v>
      </c>
      <c r="C88" s="42"/>
      <c r="D88" s="34"/>
      <c r="E88" s="42"/>
      <c r="F88" s="43">
        <f t="shared" si="11"/>
        <v>568168</v>
      </c>
      <c r="G88" s="43">
        <f>SUM(G89,G101,G106,G109)</f>
        <v>557194</v>
      </c>
      <c r="H88" s="43">
        <f>SUM(H89,H101,H106,H109)</f>
        <v>10974</v>
      </c>
      <c r="I88" s="80">
        <f>SUM(J88:K88)</f>
        <v>557493</v>
      </c>
      <c r="J88" s="80">
        <f>SUM(J89,J101,J106,J109)</f>
        <v>546519</v>
      </c>
      <c r="K88" s="80">
        <f>SUM(K89,K101,K106,K109)</f>
        <v>10974</v>
      </c>
      <c r="L88" s="81">
        <f>SUM(M88:N88)</f>
        <v>569056</v>
      </c>
      <c r="M88" s="81">
        <f>SUM(M89,M101,M106,M109)</f>
        <v>558082</v>
      </c>
      <c r="N88" s="81">
        <f>SUM(N89,N101,N106,N109)</f>
        <v>10974</v>
      </c>
      <c r="O88" s="15"/>
      <c r="P88" s="15"/>
    </row>
    <row r="89" spans="1:16" s="11" customFormat="1" ht="54.75">
      <c r="A89" s="111" t="s">
        <v>270</v>
      </c>
      <c r="B89" s="194" t="s">
        <v>396</v>
      </c>
      <c r="C89" s="42"/>
      <c r="D89" s="34"/>
      <c r="E89" s="42"/>
      <c r="F89" s="43">
        <f t="shared" si="11"/>
        <v>448720</v>
      </c>
      <c r="G89" s="74">
        <f>SUM(G90,G97,G99)</f>
        <v>448720</v>
      </c>
      <c r="H89" s="74">
        <f>SUM(H90,H97,H99)</f>
        <v>0</v>
      </c>
      <c r="I89" s="80">
        <f>SUM(J89:K89)</f>
        <v>454572</v>
      </c>
      <c r="J89" s="75">
        <f>SUM(J90,J97,J99)</f>
        <v>454572</v>
      </c>
      <c r="K89" s="75">
        <f>SUM(K90,K97,K99)</f>
        <v>0</v>
      </c>
      <c r="L89" s="81">
        <f>SUM(M89:N89)</f>
        <v>464522</v>
      </c>
      <c r="M89" s="76">
        <f>SUM(M90,M97,M99)</f>
        <v>464522</v>
      </c>
      <c r="N89" s="76">
        <f>SUM(N90,N97,N99)</f>
        <v>0</v>
      </c>
      <c r="O89" s="15"/>
      <c r="P89" s="15"/>
    </row>
    <row r="90" spans="1:16" s="11" customFormat="1" ht="41.25">
      <c r="A90" s="63" t="s">
        <v>271</v>
      </c>
      <c r="B90" s="186" t="s">
        <v>397</v>
      </c>
      <c r="C90" s="33"/>
      <c r="D90" s="30"/>
      <c r="E90" s="33"/>
      <c r="F90" s="55">
        <f t="shared" si="11"/>
        <v>25222</v>
      </c>
      <c r="G90" s="56">
        <f>SUM(G91,G92,G93,G94,G95,G96)</f>
        <v>25222</v>
      </c>
      <c r="H90" s="56">
        <f>SUM(H91,H92,H93,H94,H95,H96)</f>
        <v>0</v>
      </c>
      <c r="I90" s="101">
        <f>SUM(J90:K90)</f>
        <v>25547</v>
      </c>
      <c r="J90" s="98">
        <f>SUM(J91,J92,J93,J94,J95,J96)</f>
        <v>25547</v>
      </c>
      <c r="K90" s="98">
        <f>SUM(K91,K92,K93,K94,K95,K96)</f>
        <v>0</v>
      </c>
      <c r="L90" s="102">
        <f>SUM(M90:N90)</f>
        <v>25830</v>
      </c>
      <c r="M90" s="99">
        <f>SUM(M91,M92,M93,M94,M95,M96)</f>
        <v>25830</v>
      </c>
      <c r="N90" s="99">
        <f>SUM(N91,N92,N93,N94,N95,N96)</f>
        <v>0</v>
      </c>
      <c r="O90" s="15"/>
      <c r="P90" s="15"/>
    </row>
    <row r="91" spans="1:16" s="11" customFormat="1" ht="13.5">
      <c r="A91" s="63" t="s">
        <v>272</v>
      </c>
      <c r="B91" s="187" t="s">
        <v>273</v>
      </c>
      <c r="C91" s="33" t="s">
        <v>238</v>
      </c>
      <c r="D91" s="33" t="s">
        <v>240</v>
      </c>
      <c r="E91" s="33" t="s">
        <v>248</v>
      </c>
      <c r="F91" s="46">
        <f t="shared" si="11"/>
        <v>0</v>
      </c>
      <c r="G91" s="51"/>
      <c r="H91" s="51"/>
      <c r="I91" s="48">
        <f aca="true" t="shared" si="14" ref="I91:I99">SUM(J91:K91)</f>
        <v>0</v>
      </c>
      <c r="J91" s="52"/>
      <c r="K91" s="269"/>
      <c r="L91" s="39">
        <f aca="true" t="shared" si="15" ref="L91:L99">SUM(M91:N91)</f>
        <v>0</v>
      </c>
      <c r="M91" s="53"/>
      <c r="N91" s="53"/>
      <c r="O91" s="15"/>
      <c r="P91" s="15"/>
    </row>
    <row r="92" spans="1:16" s="11" customFormat="1" ht="13.5">
      <c r="A92" s="63" t="s">
        <v>272</v>
      </c>
      <c r="B92" s="187" t="s">
        <v>273</v>
      </c>
      <c r="C92" s="33" t="s">
        <v>274</v>
      </c>
      <c r="D92" s="33" t="s">
        <v>240</v>
      </c>
      <c r="E92" s="33" t="s">
        <v>248</v>
      </c>
      <c r="F92" s="46">
        <f t="shared" si="11"/>
        <v>25222</v>
      </c>
      <c r="G92" s="51">
        <f>25222</f>
        <v>25222</v>
      </c>
      <c r="H92" s="51"/>
      <c r="I92" s="48">
        <f t="shared" si="14"/>
        <v>25547</v>
      </c>
      <c r="J92" s="52">
        <f>25547</f>
        <v>25547</v>
      </c>
      <c r="K92" s="269"/>
      <c r="L92" s="39">
        <f t="shared" si="15"/>
        <v>25830</v>
      </c>
      <c r="M92" s="53">
        <f>25830</f>
        <v>25830</v>
      </c>
      <c r="N92" s="53"/>
      <c r="O92" s="15"/>
      <c r="P92" s="15"/>
    </row>
    <row r="93" spans="1:14" s="11" customFormat="1" ht="27">
      <c r="A93" s="63" t="s">
        <v>275</v>
      </c>
      <c r="B93" s="186" t="s">
        <v>276</v>
      </c>
      <c r="C93" s="33" t="s">
        <v>238</v>
      </c>
      <c r="D93" s="33" t="s">
        <v>240</v>
      </c>
      <c r="E93" s="33" t="s">
        <v>248</v>
      </c>
      <c r="F93" s="46">
        <f t="shared" si="11"/>
        <v>0</v>
      </c>
      <c r="G93" s="51"/>
      <c r="H93" s="51"/>
      <c r="I93" s="48">
        <f t="shared" si="14"/>
        <v>0</v>
      </c>
      <c r="J93" s="52"/>
      <c r="K93" s="269"/>
      <c r="L93" s="39">
        <f t="shared" si="15"/>
        <v>0</v>
      </c>
      <c r="M93" s="53"/>
      <c r="N93" s="53"/>
    </row>
    <row r="94" spans="1:16" s="11" customFormat="1" ht="41.25">
      <c r="A94" s="54" t="s">
        <v>277</v>
      </c>
      <c r="B94" s="187" t="s">
        <v>278</v>
      </c>
      <c r="C94" s="33" t="s">
        <v>279</v>
      </c>
      <c r="D94" s="33" t="s">
        <v>240</v>
      </c>
      <c r="E94" s="33" t="s">
        <v>248</v>
      </c>
      <c r="F94" s="46">
        <f t="shared" si="11"/>
        <v>0</v>
      </c>
      <c r="G94" s="51"/>
      <c r="H94" s="51"/>
      <c r="I94" s="48">
        <f t="shared" si="14"/>
        <v>0</v>
      </c>
      <c r="J94" s="52"/>
      <c r="K94" s="269"/>
      <c r="L94" s="39">
        <f t="shared" si="15"/>
        <v>0</v>
      </c>
      <c r="M94" s="53"/>
      <c r="N94" s="53"/>
      <c r="O94" s="15"/>
      <c r="P94" s="15"/>
    </row>
    <row r="95" spans="1:14" s="11" customFormat="1" ht="54.75">
      <c r="A95" s="115" t="s">
        <v>122</v>
      </c>
      <c r="B95" s="231" t="s">
        <v>123</v>
      </c>
      <c r="C95" s="12" t="s">
        <v>238</v>
      </c>
      <c r="D95" s="33" t="s">
        <v>240</v>
      </c>
      <c r="E95" s="33" t="s">
        <v>248</v>
      </c>
      <c r="F95" s="116">
        <f t="shared" si="11"/>
        <v>0</v>
      </c>
      <c r="G95" s="117"/>
      <c r="H95" s="117"/>
      <c r="I95" s="177">
        <f t="shared" si="14"/>
        <v>0</v>
      </c>
      <c r="J95" s="178"/>
      <c r="K95" s="275"/>
      <c r="L95" s="179">
        <f t="shared" si="15"/>
        <v>0</v>
      </c>
      <c r="M95" s="180"/>
      <c r="N95" s="180"/>
    </row>
    <row r="96" spans="1:14" s="11" customFormat="1" ht="54.75">
      <c r="A96" s="115" t="s">
        <v>660</v>
      </c>
      <c r="B96" s="12" t="s">
        <v>661</v>
      </c>
      <c r="C96" s="12" t="s">
        <v>238</v>
      </c>
      <c r="D96" s="12" t="s">
        <v>240</v>
      </c>
      <c r="E96" s="12" t="s">
        <v>248</v>
      </c>
      <c r="F96" s="116">
        <f t="shared" si="11"/>
        <v>0</v>
      </c>
      <c r="G96" s="117"/>
      <c r="H96" s="117"/>
      <c r="I96" s="118">
        <f t="shared" si="14"/>
        <v>0</v>
      </c>
      <c r="J96" s="119"/>
      <c r="K96" s="119"/>
      <c r="L96" s="120">
        <f t="shared" si="15"/>
        <v>0</v>
      </c>
      <c r="M96" s="121"/>
      <c r="N96" s="121"/>
    </row>
    <row r="97" spans="1:16" s="11" customFormat="1" ht="27">
      <c r="A97" s="63" t="s">
        <v>280</v>
      </c>
      <c r="B97" s="186" t="s">
        <v>398</v>
      </c>
      <c r="C97" s="33"/>
      <c r="D97" s="30"/>
      <c r="E97" s="33"/>
      <c r="F97" s="55">
        <f t="shared" si="11"/>
        <v>398295</v>
      </c>
      <c r="G97" s="56">
        <f>SUM(G98)</f>
        <v>398295</v>
      </c>
      <c r="H97" s="56">
        <f>SUM(H98)</f>
        <v>0</v>
      </c>
      <c r="I97" s="101">
        <f t="shared" si="14"/>
        <v>403047</v>
      </c>
      <c r="J97" s="98">
        <f>SUM(J98)</f>
        <v>403047</v>
      </c>
      <c r="K97" s="98">
        <f>SUM(K98)</f>
        <v>0</v>
      </c>
      <c r="L97" s="102">
        <f t="shared" si="15"/>
        <v>411945</v>
      </c>
      <c r="M97" s="99">
        <f>SUM(M98)</f>
        <v>411945</v>
      </c>
      <c r="N97" s="99">
        <f>SUM(N98)</f>
        <v>0</v>
      </c>
      <c r="O97" s="15"/>
      <c r="P97" s="15"/>
    </row>
    <row r="98" spans="1:14" s="11" customFormat="1" ht="27">
      <c r="A98" s="63" t="s">
        <v>281</v>
      </c>
      <c r="B98" s="187" t="s">
        <v>282</v>
      </c>
      <c r="C98" s="33" t="s">
        <v>274</v>
      </c>
      <c r="D98" s="33" t="s">
        <v>240</v>
      </c>
      <c r="E98" s="33" t="s">
        <v>248</v>
      </c>
      <c r="F98" s="46">
        <f t="shared" si="11"/>
        <v>398295</v>
      </c>
      <c r="G98" s="51">
        <f>398295</f>
        <v>398295</v>
      </c>
      <c r="H98" s="51"/>
      <c r="I98" s="48">
        <f t="shared" si="14"/>
        <v>403047</v>
      </c>
      <c r="J98" s="52">
        <f>403047</f>
        <v>403047</v>
      </c>
      <c r="K98" s="270"/>
      <c r="L98" s="39">
        <f t="shared" si="15"/>
        <v>411945</v>
      </c>
      <c r="M98" s="53">
        <f>411945</f>
        <v>411945</v>
      </c>
      <c r="N98" s="60"/>
    </row>
    <row r="99" spans="1:14" s="28" customFormat="1" ht="29.25" customHeight="1">
      <c r="A99" s="54" t="s">
        <v>283</v>
      </c>
      <c r="B99" s="186" t="s">
        <v>223</v>
      </c>
      <c r="C99" s="33"/>
      <c r="D99" s="30"/>
      <c r="E99" s="31"/>
      <c r="F99" s="46">
        <f aca="true" t="shared" si="16" ref="F99:F114">SUM(G99:H99)</f>
        <v>25203</v>
      </c>
      <c r="G99" s="64">
        <f>SUM(G100)</f>
        <v>25203</v>
      </c>
      <c r="H99" s="64">
        <f>SUM(H100)</f>
        <v>0</v>
      </c>
      <c r="I99" s="88">
        <f t="shared" si="14"/>
        <v>25978</v>
      </c>
      <c r="J99" s="112">
        <f>SUM(J100)</f>
        <v>25978</v>
      </c>
      <c r="K99" s="112">
        <f>SUM(K100)</f>
        <v>0</v>
      </c>
      <c r="L99" s="89">
        <f t="shared" si="15"/>
        <v>26747</v>
      </c>
      <c r="M99" s="113">
        <f>SUM(M100)</f>
        <v>26747</v>
      </c>
      <c r="N99" s="113">
        <f>SUM(N100)</f>
        <v>0</v>
      </c>
    </row>
    <row r="100" spans="1:16" s="11" customFormat="1" ht="41.25">
      <c r="A100" s="63" t="s">
        <v>284</v>
      </c>
      <c r="B100" s="187" t="s">
        <v>285</v>
      </c>
      <c r="C100" s="33" t="s">
        <v>274</v>
      </c>
      <c r="D100" s="33" t="s">
        <v>240</v>
      </c>
      <c r="E100" s="33" t="s">
        <v>248</v>
      </c>
      <c r="F100" s="46">
        <f t="shared" si="16"/>
        <v>25203</v>
      </c>
      <c r="G100" s="51">
        <f>25203</f>
        <v>25203</v>
      </c>
      <c r="H100" s="51"/>
      <c r="I100" s="48">
        <f aca="true" t="shared" si="17" ref="I100:I170">SUM(J100:K100)</f>
        <v>25978</v>
      </c>
      <c r="J100" s="52">
        <f>25978</f>
        <v>25978</v>
      </c>
      <c r="K100" s="269"/>
      <c r="L100" s="39">
        <f aca="true" t="shared" si="18" ref="L100:L159">SUM(M100:N100)</f>
        <v>26747</v>
      </c>
      <c r="M100" s="53">
        <f>26747</f>
        <v>26747</v>
      </c>
      <c r="N100" s="53"/>
      <c r="O100" s="15"/>
      <c r="P100" s="15"/>
    </row>
    <row r="101" spans="1:16" s="11" customFormat="1" ht="27">
      <c r="A101" s="114" t="s">
        <v>286</v>
      </c>
      <c r="B101" s="194" t="s">
        <v>224</v>
      </c>
      <c r="C101" s="42"/>
      <c r="D101" s="34"/>
      <c r="E101" s="42"/>
      <c r="F101" s="43">
        <f t="shared" si="16"/>
        <v>29908</v>
      </c>
      <c r="G101" s="74">
        <f>SUM(G102,G104)</f>
        <v>29908</v>
      </c>
      <c r="H101" s="74">
        <f>SUM(H102,H104)</f>
        <v>0</v>
      </c>
      <c r="I101" s="80">
        <f t="shared" si="17"/>
        <v>27076</v>
      </c>
      <c r="J101" s="75">
        <f>SUM(J102,J104)</f>
        <v>27076</v>
      </c>
      <c r="K101" s="75">
        <f>SUM(K102,K104)</f>
        <v>0</v>
      </c>
      <c r="L101" s="81">
        <f t="shared" si="18"/>
        <v>27542</v>
      </c>
      <c r="M101" s="76">
        <f>SUM(M102,M104)</f>
        <v>27542</v>
      </c>
      <c r="N101" s="76">
        <f>SUM(N102,N104)</f>
        <v>0</v>
      </c>
      <c r="O101" s="15"/>
      <c r="P101" s="15"/>
    </row>
    <row r="102" spans="1:16" s="11" customFormat="1" ht="41.25">
      <c r="A102" s="100" t="s">
        <v>287</v>
      </c>
      <c r="B102" s="186" t="s">
        <v>225</v>
      </c>
      <c r="C102" s="33"/>
      <c r="D102" s="30"/>
      <c r="E102" s="31"/>
      <c r="F102" s="46">
        <f t="shared" si="16"/>
        <v>29456</v>
      </c>
      <c r="G102" s="64">
        <f>SUM(G103)</f>
        <v>29456</v>
      </c>
      <c r="H102" s="64">
        <f>SUM(H103)</f>
        <v>0</v>
      </c>
      <c r="I102" s="88">
        <f t="shared" si="17"/>
        <v>26624</v>
      </c>
      <c r="J102" s="112">
        <f>SUM(J103)</f>
        <v>26624</v>
      </c>
      <c r="K102" s="112">
        <f>SUM(K103)</f>
        <v>0</v>
      </c>
      <c r="L102" s="89">
        <f t="shared" si="18"/>
        <v>27090</v>
      </c>
      <c r="M102" s="113">
        <f>SUM(M103)</f>
        <v>27090</v>
      </c>
      <c r="N102" s="113">
        <f>SUM(N103)</f>
        <v>0</v>
      </c>
      <c r="O102" s="15"/>
      <c r="P102" s="15"/>
    </row>
    <row r="103" spans="1:16" s="11" customFormat="1" ht="27">
      <c r="A103" s="100" t="s">
        <v>288</v>
      </c>
      <c r="B103" s="187" t="s">
        <v>289</v>
      </c>
      <c r="C103" s="33" t="s">
        <v>274</v>
      </c>
      <c r="D103" s="33" t="s">
        <v>240</v>
      </c>
      <c r="E103" s="33" t="s">
        <v>248</v>
      </c>
      <c r="F103" s="46">
        <f t="shared" si="16"/>
        <v>29456</v>
      </c>
      <c r="G103" s="51">
        <f>29456</f>
        <v>29456</v>
      </c>
      <c r="H103" s="51"/>
      <c r="I103" s="48">
        <f t="shared" si="17"/>
        <v>26624</v>
      </c>
      <c r="J103" s="52">
        <f>26624</f>
        <v>26624</v>
      </c>
      <c r="K103" s="269"/>
      <c r="L103" s="39">
        <f t="shared" si="18"/>
        <v>27090</v>
      </c>
      <c r="M103" s="53">
        <f>27090</f>
        <v>27090</v>
      </c>
      <c r="N103" s="53"/>
      <c r="O103" s="15"/>
      <c r="P103" s="15"/>
    </row>
    <row r="104" spans="1:16" s="11" customFormat="1" ht="41.25">
      <c r="A104" s="63" t="s">
        <v>290</v>
      </c>
      <c r="B104" s="186" t="s">
        <v>226</v>
      </c>
      <c r="C104" s="33"/>
      <c r="D104" s="30"/>
      <c r="E104" s="33"/>
      <c r="F104" s="46">
        <f t="shared" si="16"/>
        <v>452</v>
      </c>
      <c r="G104" s="69">
        <f>SUM(G105)</f>
        <v>452</v>
      </c>
      <c r="H104" s="69">
        <f>SUM(H105)</f>
        <v>0</v>
      </c>
      <c r="I104" s="88">
        <f t="shared" si="17"/>
        <v>452</v>
      </c>
      <c r="J104" s="109">
        <f>SUM(J105)</f>
        <v>452</v>
      </c>
      <c r="K104" s="109">
        <f>SUM(K105)</f>
        <v>0</v>
      </c>
      <c r="L104" s="89">
        <f t="shared" si="18"/>
        <v>452</v>
      </c>
      <c r="M104" s="110">
        <f>SUM(M105)</f>
        <v>452</v>
      </c>
      <c r="N104" s="110">
        <f>SUM(N105)</f>
        <v>0</v>
      </c>
      <c r="O104" s="15"/>
      <c r="P104" s="15"/>
    </row>
    <row r="105" spans="1:16" s="11" customFormat="1" ht="41.25">
      <c r="A105" s="100" t="s">
        <v>291</v>
      </c>
      <c r="B105" s="187" t="s">
        <v>292</v>
      </c>
      <c r="C105" s="33" t="s">
        <v>274</v>
      </c>
      <c r="D105" s="33" t="s">
        <v>240</v>
      </c>
      <c r="E105" s="33" t="s">
        <v>248</v>
      </c>
      <c r="F105" s="46">
        <f t="shared" si="16"/>
        <v>452</v>
      </c>
      <c r="G105" s="51">
        <f>452</f>
        <v>452</v>
      </c>
      <c r="H105" s="51"/>
      <c r="I105" s="48">
        <f t="shared" si="17"/>
        <v>452</v>
      </c>
      <c r="J105" s="52">
        <f>452</f>
        <v>452</v>
      </c>
      <c r="K105" s="269"/>
      <c r="L105" s="39">
        <f t="shared" si="18"/>
        <v>452</v>
      </c>
      <c r="M105" s="53">
        <f>452</f>
        <v>452</v>
      </c>
      <c r="N105" s="53"/>
      <c r="O105" s="15"/>
      <c r="P105" s="15"/>
    </row>
    <row r="106" spans="1:16" s="11" customFormat="1" ht="54.75">
      <c r="A106" s="41" t="s">
        <v>258</v>
      </c>
      <c r="B106" s="194" t="s">
        <v>227</v>
      </c>
      <c r="C106" s="42"/>
      <c r="D106" s="42"/>
      <c r="E106" s="42"/>
      <c r="F106" s="73">
        <f t="shared" si="16"/>
        <v>0</v>
      </c>
      <c r="G106" s="95">
        <f>SUM(G107)</f>
        <v>0</v>
      </c>
      <c r="H106" s="95">
        <f>SUM(H107)</f>
        <v>0</v>
      </c>
      <c r="I106" s="91">
        <f t="shared" si="17"/>
        <v>0</v>
      </c>
      <c r="J106" s="96">
        <f>SUM(J107)</f>
        <v>0</v>
      </c>
      <c r="K106" s="96">
        <f>SUM(K107)</f>
        <v>0</v>
      </c>
      <c r="L106" s="92">
        <f t="shared" si="18"/>
        <v>0</v>
      </c>
      <c r="M106" s="97">
        <f>SUM(M107)</f>
        <v>0</v>
      </c>
      <c r="N106" s="97">
        <f>SUM(N107)</f>
        <v>0</v>
      </c>
      <c r="O106" s="15"/>
      <c r="P106" s="15"/>
    </row>
    <row r="107" spans="1:16" s="11" customFormat="1" ht="45.75" customHeight="1">
      <c r="A107" s="35" t="s">
        <v>259</v>
      </c>
      <c r="B107" s="186" t="s">
        <v>228</v>
      </c>
      <c r="C107" s="33"/>
      <c r="D107" s="30"/>
      <c r="E107" s="31"/>
      <c r="F107" s="46">
        <f t="shared" si="16"/>
        <v>0</v>
      </c>
      <c r="G107" s="64">
        <f>SUM(G108)</f>
        <v>0</v>
      </c>
      <c r="H107" s="64">
        <f>SUM(H108)</f>
        <v>0</v>
      </c>
      <c r="I107" s="88">
        <f t="shared" si="17"/>
        <v>0</v>
      </c>
      <c r="J107" s="112">
        <f>SUM(J108)</f>
        <v>0</v>
      </c>
      <c r="K107" s="112">
        <f>SUM(K108)</f>
        <v>0</v>
      </c>
      <c r="L107" s="89">
        <f t="shared" si="18"/>
        <v>0</v>
      </c>
      <c r="M107" s="113">
        <f>SUM(M108)</f>
        <v>0</v>
      </c>
      <c r="N107" s="113">
        <f>SUM(N108)</f>
        <v>0</v>
      </c>
      <c r="O107" s="15"/>
      <c r="P107" s="15"/>
    </row>
    <row r="108" spans="1:16" s="11" customFormat="1" ht="41.25">
      <c r="A108" s="35" t="s">
        <v>277</v>
      </c>
      <c r="B108" s="187" t="s">
        <v>257</v>
      </c>
      <c r="C108" s="33" t="s">
        <v>279</v>
      </c>
      <c r="D108" s="33" t="s">
        <v>325</v>
      </c>
      <c r="E108" s="33" t="s">
        <v>356</v>
      </c>
      <c r="F108" s="55">
        <f t="shared" si="16"/>
        <v>0</v>
      </c>
      <c r="G108" s="55"/>
      <c r="H108" s="55"/>
      <c r="I108" s="101">
        <f t="shared" si="17"/>
        <v>0</v>
      </c>
      <c r="J108" s="101"/>
      <c r="K108" s="101"/>
      <c r="L108" s="102">
        <f t="shared" si="18"/>
        <v>0</v>
      </c>
      <c r="M108" s="102"/>
      <c r="N108" s="102"/>
      <c r="O108" s="15"/>
      <c r="P108" s="15"/>
    </row>
    <row r="109" spans="1:16" s="11" customFormat="1" ht="60.75" customHeight="1">
      <c r="A109" s="41" t="s">
        <v>253</v>
      </c>
      <c r="B109" s="194" t="s">
        <v>229</v>
      </c>
      <c r="C109" s="42"/>
      <c r="D109" s="34"/>
      <c r="E109" s="42"/>
      <c r="F109" s="73">
        <f t="shared" si="16"/>
        <v>89540</v>
      </c>
      <c r="G109" s="74">
        <f>SUM(G110,G112,G114,G121,G123,G125)</f>
        <v>78566</v>
      </c>
      <c r="H109" s="74">
        <f>SUM(H110,H112,H114,H121,H123,H125)</f>
        <v>10974</v>
      </c>
      <c r="I109" s="91">
        <f t="shared" si="17"/>
        <v>75845</v>
      </c>
      <c r="J109" s="75">
        <f>SUM(J110,J112,J114,J121,J123,J125)</f>
        <v>64871</v>
      </c>
      <c r="K109" s="75">
        <f>SUM(K110,K112,K114,K121,K123,K125)</f>
        <v>10974</v>
      </c>
      <c r="L109" s="92">
        <f t="shared" si="18"/>
        <v>76992</v>
      </c>
      <c r="M109" s="76">
        <f>SUM(M110,M112,M114,M121,M123,M125)</f>
        <v>66018</v>
      </c>
      <c r="N109" s="76">
        <f>SUM(N110,N112,N114,N121,N123,N125)</f>
        <v>10974</v>
      </c>
      <c r="O109" s="15"/>
      <c r="P109" s="15"/>
    </row>
    <row r="110" spans="1:16" s="11" customFormat="1" ht="105" customHeight="1">
      <c r="A110" s="93" t="s">
        <v>254</v>
      </c>
      <c r="B110" s="186" t="s">
        <v>230</v>
      </c>
      <c r="C110" s="33"/>
      <c r="D110" s="30"/>
      <c r="E110" s="31"/>
      <c r="F110" s="46">
        <f t="shared" si="16"/>
        <v>10974</v>
      </c>
      <c r="G110" s="64">
        <f>SUM(G111)</f>
        <v>0</v>
      </c>
      <c r="H110" s="64">
        <f>SUM(H111)</f>
        <v>10974</v>
      </c>
      <c r="I110" s="88">
        <f t="shared" si="17"/>
        <v>10974</v>
      </c>
      <c r="J110" s="112">
        <f>SUM(J111)</f>
        <v>0</v>
      </c>
      <c r="K110" s="112">
        <f>SUM(K111)</f>
        <v>10974</v>
      </c>
      <c r="L110" s="89">
        <f t="shared" si="18"/>
        <v>10974</v>
      </c>
      <c r="M110" s="113">
        <f>SUM(M111)</f>
        <v>0</v>
      </c>
      <c r="N110" s="113">
        <f>SUM(N111)</f>
        <v>10974</v>
      </c>
      <c r="O110" s="15"/>
      <c r="P110" s="15"/>
    </row>
    <row r="111" spans="1:16" s="11" customFormat="1" ht="90" customHeight="1">
      <c r="A111" s="108" t="s">
        <v>255</v>
      </c>
      <c r="B111" s="187" t="s">
        <v>256</v>
      </c>
      <c r="C111" s="33" t="s">
        <v>239</v>
      </c>
      <c r="D111" s="33" t="s">
        <v>240</v>
      </c>
      <c r="E111" s="33" t="s">
        <v>251</v>
      </c>
      <c r="F111" s="46">
        <f t="shared" si="16"/>
        <v>10974</v>
      </c>
      <c r="G111" s="46"/>
      <c r="H111" s="46">
        <v>10974</v>
      </c>
      <c r="I111" s="48">
        <f t="shared" si="17"/>
        <v>10974</v>
      </c>
      <c r="J111" s="48"/>
      <c r="K111" s="273">
        <v>10974</v>
      </c>
      <c r="L111" s="39">
        <f t="shared" si="18"/>
        <v>10974</v>
      </c>
      <c r="M111" s="39"/>
      <c r="N111" s="39">
        <f>10974</f>
        <v>10974</v>
      </c>
      <c r="O111" s="15"/>
      <c r="P111" s="15"/>
    </row>
    <row r="112" spans="1:16" s="11" customFormat="1" ht="82.5">
      <c r="A112" s="93" t="s">
        <v>263</v>
      </c>
      <c r="B112" s="186" t="s">
        <v>231</v>
      </c>
      <c r="C112" s="33"/>
      <c r="D112" s="30"/>
      <c r="E112" s="31"/>
      <c r="F112" s="46">
        <f t="shared" si="16"/>
        <v>0</v>
      </c>
      <c r="G112" s="36">
        <f>SUM(G113)</f>
        <v>0</v>
      </c>
      <c r="H112" s="36">
        <f>SUM(H113)</f>
        <v>0</v>
      </c>
      <c r="I112" s="88">
        <f t="shared" si="17"/>
        <v>0</v>
      </c>
      <c r="J112" s="77">
        <f>SUM(J113)</f>
        <v>0</v>
      </c>
      <c r="K112" s="77">
        <f>SUM(K113)</f>
        <v>0</v>
      </c>
      <c r="L112" s="89">
        <f t="shared" si="18"/>
        <v>0</v>
      </c>
      <c r="M112" s="78">
        <f>SUM(M113)</f>
        <v>0</v>
      </c>
      <c r="N112" s="78">
        <f>SUM(N113)</f>
        <v>0</v>
      </c>
      <c r="O112" s="15"/>
      <c r="P112" s="15"/>
    </row>
    <row r="113" spans="1:16" s="11" customFormat="1" ht="82.5">
      <c r="A113" s="93" t="s">
        <v>264</v>
      </c>
      <c r="B113" s="187" t="s">
        <v>265</v>
      </c>
      <c r="C113" s="33" t="s">
        <v>239</v>
      </c>
      <c r="D113" s="33" t="s">
        <v>240</v>
      </c>
      <c r="E113" s="33" t="s">
        <v>251</v>
      </c>
      <c r="F113" s="46">
        <f t="shared" si="16"/>
        <v>0</v>
      </c>
      <c r="G113" s="46"/>
      <c r="H113" s="46"/>
      <c r="I113" s="48">
        <f t="shared" si="17"/>
        <v>0</v>
      </c>
      <c r="J113" s="48"/>
      <c r="K113" s="273"/>
      <c r="L113" s="39">
        <f t="shared" si="18"/>
        <v>0</v>
      </c>
      <c r="M113" s="39"/>
      <c r="N113" s="39"/>
      <c r="O113" s="15"/>
      <c r="P113" s="15"/>
    </row>
    <row r="114" spans="1:16" s="11" customFormat="1" ht="41.25">
      <c r="A114" s="82" t="s">
        <v>324</v>
      </c>
      <c r="B114" s="190" t="s">
        <v>232</v>
      </c>
      <c r="C114" s="62"/>
      <c r="D114" s="30"/>
      <c r="E114" s="31"/>
      <c r="F114" s="46">
        <f t="shared" si="16"/>
        <v>56481</v>
      </c>
      <c r="G114" s="69">
        <f>SUM(G115,G116,G117,G118,G119,G120)</f>
        <v>56481</v>
      </c>
      <c r="H114" s="69">
        <f>SUM(H115,H118,H119,H120)</f>
        <v>0</v>
      </c>
      <c r="I114" s="88">
        <f t="shared" si="17"/>
        <v>64871</v>
      </c>
      <c r="J114" s="109">
        <f>SUM(J115,J116,J117,J118,J119,J120)</f>
        <v>64871</v>
      </c>
      <c r="K114" s="109">
        <f>SUM(K115,K118,K119,K120)</f>
        <v>0</v>
      </c>
      <c r="L114" s="89">
        <f t="shared" si="18"/>
        <v>66018</v>
      </c>
      <c r="M114" s="110">
        <f>SUM(M115,M116,M117,M118,M119,M120)</f>
        <v>66018</v>
      </c>
      <c r="N114" s="110">
        <f>SUM(N115,N118,N119,N120)</f>
        <v>0</v>
      </c>
      <c r="O114" s="15"/>
      <c r="P114" s="15"/>
    </row>
    <row r="115" spans="1:16" s="11" customFormat="1" ht="41.25">
      <c r="A115" s="82" t="s">
        <v>334</v>
      </c>
      <c r="B115" s="188" t="s">
        <v>293</v>
      </c>
      <c r="C115" s="62" t="s">
        <v>237</v>
      </c>
      <c r="D115" s="33" t="s">
        <v>240</v>
      </c>
      <c r="E115" s="33" t="s">
        <v>251</v>
      </c>
      <c r="F115" s="46">
        <f aca="true" t="shared" si="19" ref="F115:F121">SUM(G115:H115)</f>
        <v>12956</v>
      </c>
      <c r="G115" s="46">
        <f>12956</f>
        <v>12956</v>
      </c>
      <c r="H115" s="46"/>
      <c r="I115" s="48">
        <f aca="true" t="shared" si="20" ref="I115:I121">SUM(J115:K115)</f>
        <v>21293</v>
      </c>
      <c r="J115" s="48">
        <f>21293</f>
        <v>21293</v>
      </c>
      <c r="K115" s="273"/>
      <c r="L115" s="39">
        <f aca="true" t="shared" si="21" ref="L115:L121">SUM(M115:N115)</f>
        <v>22064</v>
      </c>
      <c r="M115" s="39">
        <f>22064</f>
        <v>22064</v>
      </c>
      <c r="N115" s="39"/>
      <c r="O115" s="15"/>
      <c r="P115" s="15"/>
    </row>
    <row r="116" spans="1:16" s="11" customFormat="1" ht="41.25">
      <c r="A116" s="82" t="s">
        <v>334</v>
      </c>
      <c r="B116" s="188" t="s">
        <v>293</v>
      </c>
      <c r="C116" s="62" t="s">
        <v>238</v>
      </c>
      <c r="D116" s="33" t="s">
        <v>240</v>
      </c>
      <c r="E116" s="33" t="s">
        <v>251</v>
      </c>
      <c r="F116" s="46">
        <f t="shared" si="19"/>
        <v>174</v>
      </c>
      <c r="G116" s="46">
        <f>174</f>
        <v>174</v>
      </c>
      <c r="H116" s="46"/>
      <c r="I116" s="48">
        <f t="shared" si="20"/>
        <v>99</v>
      </c>
      <c r="J116" s="48">
        <f>99</f>
        <v>99</v>
      </c>
      <c r="K116" s="273"/>
      <c r="L116" s="39">
        <f t="shared" si="21"/>
        <v>99</v>
      </c>
      <c r="M116" s="39">
        <f>99</f>
        <v>99</v>
      </c>
      <c r="N116" s="39"/>
      <c r="O116" s="15"/>
      <c r="P116" s="15"/>
    </row>
    <row r="117" spans="1:16" s="11" customFormat="1" ht="41.25">
      <c r="A117" s="82" t="s">
        <v>334</v>
      </c>
      <c r="B117" s="188" t="s">
        <v>293</v>
      </c>
      <c r="C117" s="62" t="s">
        <v>239</v>
      </c>
      <c r="D117" s="33" t="s">
        <v>240</v>
      </c>
      <c r="E117" s="33" t="s">
        <v>251</v>
      </c>
      <c r="F117" s="46">
        <f t="shared" si="19"/>
        <v>0</v>
      </c>
      <c r="G117" s="46"/>
      <c r="H117" s="46"/>
      <c r="I117" s="48">
        <f t="shared" si="20"/>
        <v>0</v>
      </c>
      <c r="J117" s="48"/>
      <c r="K117" s="273"/>
      <c r="L117" s="39">
        <f t="shared" si="21"/>
        <v>0</v>
      </c>
      <c r="M117" s="39"/>
      <c r="N117" s="39"/>
      <c r="O117" s="15"/>
      <c r="P117" s="15"/>
    </row>
    <row r="118" spans="1:16" s="11" customFormat="1" ht="41.25">
      <c r="A118" s="82" t="s">
        <v>334</v>
      </c>
      <c r="B118" s="188" t="s">
        <v>293</v>
      </c>
      <c r="C118" s="62" t="s">
        <v>237</v>
      </c>
      <c r="D118" s="33" t="s">
        <v>240</v>
      </c>
      <c r="E118" s="33" t="s">
        <v>248</v>
      </c>
      <c r="F118" s="46">
        <f t="shared" si="19"/>
        <v>9515</v>
      </c>
      <c r="G118" s="46">
        <f>9515</f>
        <v>9515</v>
      </c>
      <c r="H118" s="46"/>
      <c r="I118" s="48">
        <f t="shared" si="20"/>
        <v>9929</v>
      </c>
      <c r="J118" s="48">
        <f>9929</f>
        <v>9929</v>
      </c>
      <c r="K118" s="273"/>
      <c r="L118" s="39">
        <f t="shared" si="21"/>
        <v>10288</v>
      </c>
      <c r="M118" s="39">
        <f>10288</f>
        <v>10288</v>
      </c>
      <c r="N118" s="39"/>
      <c r="O118" s="15"/>
      <c r="P118" s="15"/>
    </row>
    <row r="119" spans="1:16" s="11" customFormat="1" ht="41.25">
      <c r="A119" s="82" t="s">
        <v>334</v>
      </c>
      <c r="B119" s="187" t="s">
        <v>293</v>
      </c>
      <c r="C119" s="33">
        <v>200</v>
      </c>
      <c r="D119" s="33" t="s">
        <v>240</v>
      </c>
      <c r="E119" s="33" t="s">
        <v>248</v>
      </c>
      <c r="F119" s="46">
        <f t="shared" si="19"/>
        <v>29821</v>
      </c>
      <c r="G119" s="46">
        <f>29821</f>
        <v>29821</v>
      </c>
      <c r="H119" s="46"/>
      <c r="I119" s="48">
        <f t="shared" si="20"/>
        <v>29535</v>
      </c>
      <c r="J119" s="48">
        <f>29535</f>
        <v>29535</v>
      </c>
      <c r="K119" s="273"/>
      <c r="L119" s="39">
        <f t="shared" si="21"/>
        <v>29552</v>
      </c>
      <c r="M119" s="39">
        <f>29552</f>
        <v>29552</v>
      </c>
      <c r="N119" s="39"/>
      <c r="O119" s="15"/>
      <c r="P119" s="15"/>
    </row>
    <row r="120" spans="1:16" s="11" customFormat="1" ht="41.25">
      <c r="A120" s="82" t="s">
        <v>334</v>
      </c>
      <c r="B120" s="187" t="s">
        <v>293</v>
      </c>
      <c r="C120" s="33">
        <v>800</v>
      </c>
      <c r="D120" s="33" t="s">
        <v>240</v>
      </c>
      <c r="E120" s="33" t="s">
        <v>248</v>
      </c>
      <c r="F120" s="46">
        <f t="shared" si="19"/>
        <v>4015</v>
      </c>
      <c r="G120" s="46">
        <f>4015</f>
        <v>4015</v>
      </c>
      <c r="H120" s="46"/>
      <c r="I120" s="48">
        <f t="shared" si="20"/>
        <v>4015</v>
      </c>
      <c r="J120" s="48">
        <f>4015</f>
        <v>4015</v>
      </c>
      <c r="K120" s="273"/>
      <c r="L120" s="39">
        <f t="shared" si="21"/>
        <v>4015</v>
      </c>
      <c r="M120" s="39">
        <f>4015</f>
        <v>4015</v>
      </c>
      <c r="N120" s="39"/>
      <c r="O120" s="15"/>
      <c r="P120" s="15"/>
    </row>
    <row r="121" spans="1:14" s="11" customFormat="1" ht="165">
      <c r="A121" s="93" t="s">
        <v>266</v>
      </c>
      <c r="B121" s="195" t="s">
        <v>233</v>
      </c>
      <c r="C121" s="33"/>
      <c r="D121" s="30"/>
      <c r="E121" s="31"/>
      <c r="F121" s="36">
        <f t="shared" si="19"/>
        <v>0</v>
      </c>
      <c r="G121" s="64">
        <f>SUM(G122)</f>
        <v>0</v>
      </c>
      <c r="H121" s="64">
        <f>SUM(H122)</f>
        <v>0</v>
      </c>
      <c r="I121" s="77">
        <f t="shared" si="20"/>
        <v>0</v>
      </c>
      <c r="J121" s="112">
        <f>SUM(J122)</f>
        <v>0</v>
      </c>
      <c r="K121" s="112">
        <f>SUM(K122)</f>
        <v>0</v>
      </c>
      <c r="L121" s="78">
        <f t="shared" si="21"/>
        <v>0</v>
      </c>
      <c r="M121" s="113">
        <f>SUM(M122)</f>
        <v>0</v>
      </c>
      <c r="N121" s="113">
        <f>SUM(N122)</f>
        <v>0</v>
      </c>
    </row>
    <row r="122" spans="1:14" s="11" customFormat="1" ht="151.5">
      <c r="A122" s="93" t="s">
        <v>267</v>
      </c>
      <c r="B122" s="187" t="s">
        <v>268</v>
      </c>
      <c r="C122" s="33" t="s">
        <v>239</v>
      </c>
      <c r="D122" s="33" t="s">
        <v>240</v>
      </c>
      <c r="E122" s="33" t="s">
        <v>251</v>
      </c>
      <c r="F122" s="55">
        <f aca="true" t="shared" si="22" ref="F122:F205">SUM(G122:H122)</f>
        <v>0</v>
      </c>
      <c r="G122" s="55"/>
      <c r="H122" s="55"/>
      <c r="I122" s="57">
        <f t="shared" si="17"/>
        <v>0</v>
      </c>
      <c r="J122" s="57"/>
      <c r="K122" s="274"/>
      <c r="L122" s="59">
        <f t="shared" si="18"/>
        <v>0</v>
      </c>
      <c r="M122" s="59"/>
      <c r="N122" s="59"/>
    </row>
    <row r="123" spans="1:16" s="11" customFormat="1" ht="82.5">
      <c r="A123" s="115" t="s">
        <v>551</v>
      </c>
      <c r="B123" s="181" t="s">
        <v>554</v>
      </c>
      <c r="C123" s="12"/>
      <c r="E123" s="12"/>
      <c r="F123" s="116">
        <f t="shared" si="22"/>
        <v>0</v>
      </c>
      <c r="G123" s="116">
        <f>SUM(G124)</f>
        <v>0</v>
      </c>
      <c r="H123" s="116">
        <f>SUM(H124)</f>
        <v>0</v>
      </c>
      <c r="I123" s="118">
        <f t="shared" si="17"/>
        <v>0</v>
      </c>
      <c r="J123" s="118">
        <f>SUM(J124)</f>
        <v>0</v>
      </c>
      <c r="K123" s="118">
        <f>SUM(K124)</f>
        <v>0</v>
      </c>
      <c r="L123" s="120">
        <f t="shared" si="18"/>
        <v>0</v>
      </c>
      <c r="M123" s="120">
        <f>SUM(M124)</f>
        <v>0</v>
      </c>
      <c r="N123" s="120">
        <f>SUM(N124)</f>
        <v>0</v>
      </c>
      <c r="O123" s="15"/>
      <c r="P123" s="15"/>
    </row>
    <row r="124" spans="1:14" s="28" customFormat="1" ht="57.75" customHeight="1">
      <c r="A124" s="115" t="s">
        <v>552</v>
      </c>
      <c r="B124" s="181" t="s">
        <v>553</v>
      </c>
      <c r="C124" s="12" t="s">
        <v>239</v>
      </c>
      <c r="D124" s="12" t="s">
        <v>240</v>
      </c>
      <c r="E124" s="12" t="s">
        <v>251</v>
      </c>
      <c r="F124" s="116">
        <f>SUM(G124:H124)</f>
        <v>0</v>
      </c>
      <c r="G124" s="116"/>
      <c r="H124" s="116"/>
      <c r="I124" s="118">
        <f>SUM(J124:K124)</f>
        <v>0</v>
      </c>
      <c r="J124" s="118"/>
      <c r="K124" s="118"/>
      <c r="L124" s="120">
        <f>SUM(M124:N124)</f>
        <v>0</v>
      </c>
      <c r="M124" s="120"/>
      <c r="N124" s="120"/>
    </row>
    <row r="125" spans="1:14" s="28" customFormat="1" ht="57.75" customHeight="1">
      <c r="A125" s="115" t="s">
        <v>431</v>
      </c>
      <c r="B125" s="231" t="s">
        <v>430</v>
      </c>
      <c r="C125" s="12"/>
      <c r="D125" s="12"/>
      <c r="E125" s="12"/>
      <c r="F125" s="116">
        <f>SUM(G125:H125)</f>
        <v>22085</v>
      </c>
      <c r="G125" s="116">
        <f>SUM(G126)</f>
        <v>22085</v>
      </c>
      <c r="H125" s="116">
        <f>SUM(H126)</f>
        <v>0</v>
      </c>
      <c r="I125" s="118">
        <f>SUM(J125:K125)</f>
        <v>0</v>
      </c>
      <c r="J125" s="118">
        <f>SUM(J126)</f>
        <v>0</v>
      </c>
      <c r="K125" s="118">
        <f>SUM(K126)</f>
        <v>0</v>
      </c>
      <c r="L125" s="120">
        <f>SUM(M125:N125)</f>
        <v>0</v>
      </c>
      <c r="M125" s="120">
        <f>SUM(M126)</f>
        <v>0</v>
      </c>
      <c r="N125" s="120">
        <f>SUM(N126)</f>
        <v>0</v>
      </c>
    </row>
    <row r="126" spans="1:14" s="20" customFormat="1" ht="69">
      <c r="A126" s="267" t="s">
        <v>428</v>
      </c>
      <c r="B126" s="176" t="s">
        <v>429</v>
      </c>
      <c r="C126" s="166" t="s">
        <v>239</v>
      </c>
      <c r="D126" s="166" t="s">
        <v>240</v>
      </c>
      <c r="E126" s="166" t="s">
        <v>251</v>
      </c>
      <c r="F126" s="167">
        <f>SUM(G126:H126)</f>
        <v>22085</v>
      </c>
      <c r="G126" s="167">
        <v>22085</v>
      </c>
      <c r="H126" s="167"/>
      <c r="I126" s="169">
        <f>SUM(J126:K126)</f>
        <v>0</v>
      </c>
      <c r="J126" s="169"/>
      <c r="K126" s="169"/>
      <c r="L126" s="171">
        <f>SUM(M126:N126)</f>
        <v>0</v>
      </c>
      <c r="M126" s="171"/>
      <c r="N126" s="171"/>
    </row>
    <row r="127" spans="1:16" s="11" customFormat="1" ht="34.5" customHeight="1">
      <c r="A127" s="93"/>
      <c r="B127" s="187"/>
      <c r="C127" s="33"/>
      <c r="D127" s="33"/>
      <c r="E127" s="33"/>
      <c r="F127" s="55"/>
      <c r="G127" s="55"/>
      <c r="H127" s="55"/>
      <c r="I127" s="57"/>
      <c r="J127" s="57"/>
      <c r="K127" s="274"/>
      <c r="L127" s="59"/>
      <c r="M127" s="59"/>
      <c r="N127" s="59"/>
      <c r="O127" s="15"/>
      <c r="P127" s="15"/>
    </row>
    <row r="128" spans="1:16" s="11" customFormat="1" ht="41.25">
      <c r="A128" s="41" t="s">
        <v>321</v>
      </c>
      <c r="B128" s="194" t="s">
        <v>240</v>
      </c>
      <c r="C128" s="42"/>
      <c r="D128" s="34"/>
      <c r="E128" s="42"/>
      <c r="F128" s="43">
        <f t="shared" si="22"/>
        <v>115606</v>
      </c>
      <c r="G128" s="43">
        <f>SUM(G129,G148)</f>
        <v>58767</v>
      </c>
      <c r="H128" s="43">
        <f>SUM(H129,H148)</f>
        <v>56839</v>
      </c>
      <c r="I128" s="80">
        <f t="shared" si="17"/>
        <v>117312</v>
      </c>
      <c r="J128" s="80">
        <f>SUM(J129,J148)</f>
        <v>62797</v>
      </c>
      <c r="K128" s="80">
        <f>SUM(K129,K148)</f>
        <v>54515</v>
      </c>
      <c r="L128" s="81">
        <f t="shared" si="18"/>
        <v>118864</v>
      </c>
      <c r="M128" s="81">
        <f>SUM(M129,M148)</f>
        <v>64349</v>
      </c>
      <c r="N128" s="81">
        <f>SUM(N129,N148)</f>
        <v>54515</v>
      </c>
      <c r="O128" s="15"/>
      <c r="P128" s="15"/>
    </row>
    <row r="129" spans="1:16" s="11" customFormat="1" ht="27">
      <c r="A129" s="41" t="s">
        <v>322</v>
      </c>
      <c r="B129" s="194" t="s">
        <v>234</v>
      </c>
      <c r="C129" s="42"/>
      <c r="D129" s="34"/>
      <c r="E129" s="42"/>
      <c r="F129" s="43">
        <f t="shared" si="22"/>
        <v>61473</v>
      </c>
      <c r="G129" s="43">
        <f>SUM(G130,G132,G135,G141,G144,G146)</f>
        <v>4634</v>
      </c>
      <c r="H129" s="43">
        <f>SUM(H130,H132,H135,H141,H144,H146)</f>
        <v>56839</v>
      </c>
      <c r="I129" s="80">
        <f t="shared" si="17"/>
        <v>59149</v>
      </c>
      <c r="J129" s="80">
        <f>SUM(J130,J132,J135,J141,J144,J146)</f>
        <v>4634</v>
      </c>
      <c r="K129" s="80">
        <f>SUM(K130,K132,K135,K141,K144,K146)</f>
        <v>54515</v>
      </c>
      <c r="L129" s="81">
        <f t="shared" si="18"/>
        <v>59149</v>
      </c>
      <c r="M129" s="81">
        <f>SUM(M130,M132,M135,M141,M144,M146)</f>
        <v>4634</v>
      </c>
      <c r="N129" s="81">
        <f>SUM(N130,N132,N135,N141,N144,N146)</f>
        <v>54515</v>
      </c>
      <c r="O129" s="15"/>
      <c r="P129" s="15"/>
    </row>
    <row r="130" spans="1:16" s="11" customFormat="1" ht="110.25">
      <c r="A130" s="35" t="s">
        <v>203</v>
      </c>
      <c r="B130" s="186" t="s">
        <v>235</v>
      </c>
      <c r="C130" s="33"/>
      <c r="D130" s="30"/>
      <c r="E130" s="31"/>
      <c r="F130" s="55">
        <f t="shared" si="22"/>
        <v>0</v>
      </c>
      <c r="G130" s="69">
        <f>SUM(G131)</f>
        <v>0</v>
      </c>
      <c r="H130" s="69">
        <f>SUM(H131)</f>
        <v>0</v>
      </c>
      <c r="I130" s="101">
        <f t="shared" si="17"/>
        <v>0</v>
      </c>
      <c r="J130" s="109">
        <f>SUM(J131)</f>
        <v>0</v>
      </c>
      <c r="K130" s="109">
        <f>SUM(K131)</f>
        <v>0</v>
      </c>
      <c r="L130" s="102">
        <f t="shared" si="18"/>
        <v>0</v>
      </c>
      <c r="M130" s="110">
        <f>SUM(M131)</f>
        <v>0</v>
      </c>
      <c r="N130" s="110">
        <f>SUM(N131)</f>
        <v>0</v>
      </c>
      <c r="O130" s="15"/>
      <c r="P130" s="15"/>
    </row>
    <row r="131" spans="1:16" s="11" customFormat="1" ht="110.25">
      <c r="A131" s="35" t="s">
        <v>204</v>
      </c>
      <c r="B131" s="187" t="s">
        <v>205</v>
      </c>
      <c r="C131" s="33" t="s">
        <v>355</v>
      </c>
      <c r="D131" s="33" t="s">
        <v>399</v>
      </c>
      <c r="E131" s="33" t="s">
        <v>219</v>
      </c>
      <c r="F131" s="55">
        <f t="shared" si="22"/>
        <v>0</v>
      </c>
      <c r="G131" s="51"/>
      <c r="H131" s="51"/>
      <c r="I131" s="48">
        <f t="shared" si="17"/>
        <v>0</v>
      </c>
      <c r="J131" s="52"/>
      <c r="K131" s="269"/>
      <c r="L131" s="39">
        <f t="shared" si="18"/>
        <v>0</v>
      </c>
      <c r="M131" s="53"/>
      <c r="N131" s="53"/>
      <c r="O131" s="15"/>
      <c r="P131" s="15"/>
    </row>
    <row r="132" spans="1:14" s="11" customFormat="1" ht="82.5">
      <c r="A132" s="35" t="s">
        <v>206</v>
      </c>
      <c r="B132" s="186" t="s">
        <v>236</v>
      </c>
      <c r="C132" s="33"/>
      <c r="D132" s="30"/>
      <c r="E132" s="31"/>
      <c r="F132" s="55">
        <f t="shared" si="22"/>
        <v>0</v>
      </c>
      <c r="G132" s="68">
        <f>SUM(G133,G134)</f>
        <v>0</v>
      </c>
      <c r="H132" s="68">
        <f>SUM(H133,H134)</f>
        <v>0</v>
      </c>
      <c r="I132" s="101">
        <f t="shared" si="17"/>
        <v>0</v>
      </c>
      <c r="J132" s="83">
        <f>SUM(J133,J134)</f>
        <v>0</v>
      </c>
      <c r="K132" s="83">
        <f>SUM(K133,K134)</f>
        <v>0</v>
      </c>
      <c r="L132" s="102">
        <f t="shared" si="18"/>
        <v>0</v>
      </c>
      <c r="M132" s="84">
        <f>SUM(M133,M134)</f>
        <v>0</v>
      </c>
      <c r="N132" s="84">
        <f>SUM(N133,N134)</f>
        <v>0</v>
      </c>
    </row>
    <row r="133" spans="1:16" s="11" customFormat="1" ht="69">
      <c r="A133" s="67" t="s">
        <v>124</v>
      </c>
      <c r="B133" s="187" t="s">
        <v>207</v>
      </c>
      <c r="C133" s="33" t="s">
        <v>355</v>
      </c>
      <c r="D133" s="33" t="s">
        <v>399</v>
      </c>
      <c r="E133" s="33" t="s">
        <v>219</v>
      </c>
      <c r="F133" s="46">
        <f t="shared" si="22"/>
        <v>0</v>
      </c>
      <c r="G133" s="51"/>
      <c r="H133" s="51"/>
      <c r="I133" s="48">
        <f t="shared" si="17"/>
        <v>0</v>
      </c>
      <c r="J133" s="52"/>
      <c r="K133" s="269"/>
      <c r="L133" s="39">
        <f t="shared" si="18"/>
        <v>0</v>
      </c>
      <c r="M133" s="53"/>
      <c r="N133" s="53"/>
      <c r="O133" s="15"/>
      <c r="P133" s="15"/>
    </row>
    <row r="134" spans="1:14" s="11" customFormat="1" ht="91.5" customHeight="1">
      <c r="A134" s="229" t="s">
        <v>662</v>
      </c>
      <c r="B134" s="231" t="s">
        <v>663</v>
      </c>
      <c r="C134" s="12" t="s">
        <v>355</v>
      </c>
      <c r="D134" s="33" t="s">
        <v>399</v>
      </c>
      <c r="E134" s="33" t="s">
        <v>219</v>
      </c>
      <c r="F134" s="116">
        <f t="shared" si="22"/>
        <v>0</v>
      </c>
      <c r="G134" s="117"/>
      <c r="H134" s="117"/>
      <c r="I134" s="177">
        <f t="shared" si="17"/>
        <v>0</v>
      </c>
      <c r="J134" s="178"/>
      <c r="K134" s="275"/>
      <c r="L134" s="179">
        <f t="shared" si="18"/>
        <v>0</v>
      </c>
      <c r="M134" s="180"/>
      <c r="N134" s="180"/>
    </row>
    <row r="135" spans="1:16" s="11" customFormat="1" ht="41.25">
      <c r="A135" s="35" t="s">
        <v>400</v>
      </c>
      <c r="B135" s="196" t="s">
        <v>401</v>
      </c>
      <c r="C135" s="33"/>
      <c r="D135" s="30"/>
      <c r="E135" s="31"/>
      <c r="F135" s="55">
        <f t="shared" si="22"/>
        <v>4563</v>
      </c>
      <c r="G135" s="36">
        <f>SUM(G136,G137,G139,G138,G140)</f>
        <v>3500</v>
      </c>
      <c r="H135" s="36">
        <f>SUM(H136,H137,H139,H138,H140)</f>
        <v>1063</v>
      </c>
      <c r="I135" s="101">
        <f t="shared" si="17"/>
        <v>4563</v>
      </c>
      <c r="J135" s="77">
        <f>SUM(J136,J137,J139,J138,J140)</f>
        <v>3500</v>
      </c>
      <c r="K135" s="77">
        <f>SUM(K136,K137,K139,K138,K140)</f>
        <v>1063</v>
      </c>
      <c r="L135" s="102">
        <f t="shared" si="18"/>
        <v>4563</v>
      </c>
      <c r="M135" s="78">
        <f>SUM(M136,M137,M139,M138,M140)</f>
        <v>3500</v>
      </c>
      <c r="N135" s="78">
        <f>SUM(N136,N137,N139,N138,N140)</f>
        <v>1063</v>
      </c>
      <c r="O135" s="15"/>
      <c r="P135" s="15"/>
    </row>
    <row r="136" spans="1:16" s="11" customFormat="1" ht="45" customHeight="1">
      <c r="A136" s="229" t="s">
        <v>125</v>
      </c>
      <c r="B136" s="230" t="s">
        <v>126</v>
      </c>
      <c r="C136" s="12" t="s">
        <v>355</v>
      </c>
      <c r="D136" s="12" t="s">
        <v>399</v>
      </c>
      <c r="E136" s="12" t="s">
        <v>219</v>
      </c>
      <c r="F136" s="116">
        <f>SUM(G136:H136)</f>
        <v>0</v>
      </c>
      <c r="G136" s="117"/>
      <c r="H136" s="117"/>
      <c r="I136" s="118">
        <f t="shared" si="17"/>
        <v>0</v>
      </c>
      <c r="J136" s="119"/>
      <c r="K136" s="119"/>
      <c r="L136" s="120">
        <f t="shared" si="18"/>
        <v>0</v>
      </c>
      <c r="M136" s="121"/>
      <c r="N136" s="121"/>
      <c r="O136" s="15"/>
      <c r="P136" s="15"/>
    </row>
    <row r="137" spans="1:14" s="11" customFormat="1" ht="41.25">
      <c r="A137" s="93" t="s">
        <v>403</v>
      </c>
      <c r="B137" s="197" t="s">
        <v>402</v>
      </c>
      <c r="C137" s="33" t="s">
        <v>355</v>
      </c>
      <c r="D137" s="33" t="s">
        <v>399</v>
      </c>
      <c r="E137" s="33" t="s">
        <v>219</v>
      </c>
      <c r="F137" s="46">
        <f t="shared" si="22"/>
        <v>0</v>
      </c>
      <c r="G137" s="51"/>
      <c r="H137" s="51"/>
      <c r="I137" s="48">
        <f t="shared" si="17"/>
        <v>0</v>
      </c>
      <c r="J137" s="52"/>
      <c r="K137" s="269"/>
      <c r="L137" s="39">
        <f t="shared" si="18"/>
        <v>0</v>
      </c>
      <c r="M137" s="53"/>
      <c r="N137" s="53"/>
    </row>
    <row r="138" spans="1:14" s="11" customFormat="1" ht="54.75">
      <c r="A138" s="232" t="s">
        <v>111</v>
      </c>
      <c r="B138" s="251" t="s">
        <v>664</v>
      </c>
      <c r="C138" s="12" t="s">
        <v>355</v>
      </c>
      <c r="D138" s="12" t="s">
        <v>399</v>
      </c>
      <c r="E138" s="12" t="s">
        <v>219</v>
      </c>
      <c r="F138" s="167">
        <f>SUM(G138:H138)</f>
        <v>4563</v>
      </c>
      <c r="G138" s="168">
        <f>3500</f>
        <v>3500</v>
      </c>
      <c r="H138" s="168">
        <f>1063</f>
        <v>1063</v>
      </c>
      <c r="I138" s="169">
        <f>SUM(J138:K138)</f>
        <v>4563</v>
      </c>
      <c r="J138" s="170">
        <f>3500</f>
        <v>3500</v>
      </c>
      <c r="K138" s="170">
        <f>1063</f>
        <v>1063</v>
      </c>
      <c r="L138" s="171">
        <f>SUM(M138:N138)</f>
        <v>4563</v>
      </c>
      <c r="M138" s="135">
        <f>3500</f>
        <v>3500</v>
      </c>
      <c r="N138" s="135">
        <f>1063</f>
        <v>1063</v>
      </c>
    </row>
    <row r="139" spans="1:16" s="11" customFormat="1" ht="48.75" customHeight="1">
      <c r="A139" s="67" t="s">
        <v>405</v>
      </c>
      <c r="B139" s="187" t="s">
        <v>404</v>
      </c>
      <c r="C139" s="33" t="s">
        <v>355</v>
      </c>
      <c r="D139" s="33" t="s">
        <v>399</v>
      </c>
      <c r="E139" s="33" t="s">
        <v>219</v>
      </c>
      <c r="F139" s="46">
        <f t="shared" si="22"/>
        <v>0</v>
      </c>
      <c r="G139" s="51"/>
      <c r="H139" s="51">
        <f>1063-1063</f>
        <v>0</v>
      </c>
      <c r="I139" s="48">
        <f t="shared" si="17"/>
        <v>0</v>
      </c>
      <c r="J139" s="52"/>
      <c r="K139" s="269">
        <f>1063-1063</f>
        <v>0</v>
      </c>
      <c r="L139" s="39">
        <f t="shared" si="18"/>
        <v>0</v>
      </c>
      <c r="M139" s="53"/>
      <c r="N139" s="53"/>
      <c r="O139" s="15"/>
      <c r="P139" s="15"/>
    </row>
    <row r="140" spans="1:16" s="11" customFormat="1" ht="51" customHeight="1">
      <c r="A140" s="232" t="s">
        <v>405</v>
      </c>
      <c r="B140" s="181" t="s">
        <v>127</v>
      </c>
      <c r="C140" s="12" t="s">
        <v>355</v>
      </c>
      <c r="D140" s="12" t="s">
        <v>399</v>
      </c>
      <c r="E140" s="12" t="s">
        <v>219</v>
      </c>
      <c r="F140" s="46">
        <f t="shared" si="22"/>
        <v>0</v>
      </c>
      <c r="G140" s="168"/>
      <c r="H140" s="168"/>
      <c r="I140" s="169">
        <f t="shared" si="17"/>
        <v>0</v>
      </c>
      <c r="J140" s="170"/>
      <c r="K140" s="170"/>
      <c r="L140" s="171">
        <f t="shared" si="18"/>
        <v>0</v>
      </c>
      <c r="M140" s="135"/>
      <c r="N140" s="135"/>
      <c r="O140" s="15"/>
      <c r="P140" s="15"/>
    </row>
    <row r="141" spans="1:16" s="11" customFormat="1" ht="90" customHeight="1">
      <c r="A141" s="35" t="s">
        <v>406</v>
      </c>
      <c r="B141" s="186" t="s">
        <v>407</v>
      </c>
      <c r="C141" s="33"/>
      <c r="D141" s="30"/>
      <c r="E141" s="31"/>
      <c r="F141" s="55">
        <f t="shared" si="22"/>
        <v>55776</v>
      </c>
      <c r="G141" s="36">
        <f>SUM(G142,G143)</f>
        <v>0</v>
      </c>
      <c r="H141" s="36">
        <f>SUM(H142,H143)</f>
        <v>55776</v>
      </c>
      <c r="I141" s="101">
        <f t="shared" si="17"/>
        <v>53452</v>
      </c>
      <c r="J141" s="77">
        <f>SUM(J142,J143)</f>
        <v>0</v>
      </c>
      <c r="K141" s="77">
        <f>SUM(K142,K143)</f>
        <v>53452</v>
      </c>
      <c r="L141" s="102">
        <f t="shared" si="18"/>
        <v>53452</v>
      </c>
      <c r="M141" s="78">
        <f>SUM(M142,M143)</f>
        <v>0</v>
      </c>
      <c r="N141" s="78">
        <f>SUM(N142,N143)</f>
        <v>53452</v>
      </c>
      <c r="O141" s="15"/>
      <c r="P141" s="15"/>
    </row>
    <row r="142" spans="1:16" s="11" customFormat="1" ht="69">
      <c r="A142" s="61" t="s">
        <v>411</v>
      </c>
      <c r="B142" s="190" t="s">
        <v>408</v>
      </c>
      <c r="C142" s="62" t="s">
        <v>279</v>
      </c>
      <c r="D142" s="62" t="s">
        <v>399</v>
      </c>
      <c r="E142" s="62" t="s">
        <v>240</v>
      </c>
      <c r="F142" s="46">
        <f>SUM(G142:H142)</f>
        <v>22864</v>
      </c>
      <c r="G142" s="51"/>
      <c r="H142" s="51">
        <v>22864</v>
      </c>
      <c r="I142" s="48">
        <f>SUM(J142:K142)</f>
        <v>19224</v>
      </c>
      <c r="J142" s="52"/>
      <c r="K142" s="269">
        <v>19224</v>
      </c>
      <c r="L142" s="39">
        <f>SUM(M142:N142)</f>
        <v>19224</v>
      </c>
      <c r="M142" s="53"/>
      <c r="N142" s="53">
        <f>19224</f>
        <v>19224</v>
      </c>
      <c r="O142" s="15"/>
      <c r="P142" s="15"/>
    </row>
    <row r="143" spans="1:16" s="11" customFormat="1" ht="69">
      <c r="A143" s="67" t="s">
        <v>412</v>
      </c>
      <c r="B143" s="187" t="s">
        <v>409</v>
      </c>
      <c r="C143" s="33" t="s">
        <v>279</v>
      </c>
      <c r="D143" s="62" t="s">
        <v>399</v>
      </c>
      <c r="E143" s="62" t="s">
        <v>240</v>
      </c>
      <c r="F143" s="46">
        <f>SUM(G143:H143)</f>
        <v>32912</v>
      </c>
      <c r="G143" s="51"/>
      <c r="H143" s="51">
        <f>26000+6912</f>
        <v>32912</v>
      </c>
      <c r="I143" s="48">
        <f>SUM(J143:K143)</f>
        <v>34228</v>
      </c>
      <c r="J143" s="52"/>
      <c r="K143" s="269">
        <f>27040+7188</f>
        <v>34228</v>
      </c>
      <c r="L143" s="39">
        <f>SUM(M143:N143)</f>
        <v>34228</v>
      </c>
      <c r="M143" s="53"/>
      <c r="N143" s="53">
        <f>34228</f>
        <v>34228</v>
      </c>
      <c r="O143" s="15"/>
      <c r="P143" s="15"/>
    </row>
    <row r="144" spans="1:16" s="11" customFormat="1" ht="51.75" customHeight="1">
      <c r="A144" s="35" t="s">
        <v>413</v>
      </c>
      <c r="B144" s="186" t="s">
        <v>414</v>
      </c>
      <c r="C144" s="33"/>
      <c r="D144" s="30"/>
      <c r="E144" s="31"/>
      <c r="F144" s="55">
        <f t="shared" si="22"/>
        <v>1134</v>
      </c>
      <c r="G144" s="36">
        <f>SUM(G145,)</f>
        <v>1134</v>
      </c>
      <c r="H144" s="36">
        <f>SUM(H145,)</f>
        <v>0</v>
      </c>
      <c r="I144" s="101">
        <f>SUM(J144:K144)</f>
        <v>1134</v>
      </c>
      <c r="J144" s="77">
        <f>SUM(J145,)</f>
        <v>1134</v>
      </c>
      <c r="K144" s="77">
        <f>SUM(K145,)</f>
        <v>0</v>
      </c>
      <c r="L144" s="102">
        <f>SUM(M144:N144)</f>
        <v>1134</v>
      </c>
      <c r="M144" s="78">
        <f>SUM(M145,)</f>
        <v>1134</v>
      </c>
      <c r="N144" s="78">
        <f>SUM(N145,)</f>
        <v>0</v>
      </c>
      <c r="O144" s="15"/>
      <c r="P144" s="15"/>
    </row>
    <row r="145" spans="1:16" s="11" customFormat="1" ht="27">
      <c r="A145" s="107" t="s">
        <v>416</v>
      </c>
      <c r="B145" s="187" t="s">
        <v>415</v>
      </c>
      <c r="C145" s="33" t="s">
        <v>238</v>
      </c>
      <c r="D145" s="33" t="s">
        <v>240</v>
      </c>
      <c r="E145" s="33" t="s">
        <v>294</v>
      </c>
      <c r="F145" s="46">
        <f t="shared" si="22"/>
        <v>1134</v>
      </c>
      <c r="G145" s="46">
        <f>1134</f>
        <v>1134</v>
      </c>
      <c r="H145" s="46"/>
      <c r="I145" s="48">
        <f t="shared" si="17"/>
        <v>1134</v>
      </c>
      <c r="J145" s="48">
        <f>1134</f>
        <v>1134</v>
      </c>
      <c r="K145" s="273"/>
      <c r="L145" s="39">
        <f t="shared" si="18"/>
        <v>1134</v>
      </c>
      <c r="M145" s="39">
        <f>1134</f>
        <v>1134</v>
      </c>
      <c r="N145" s="39"/>
      <c r="O145" s="15"/>
      <c r="P145" s="15"/>
    </row>
    <row r="146" spans="1:16" s="11" customFormat="1" ht="41.25">
      <c r="A146" s="54" t="s">
        <v>417</v>
      </c>
      <c r="B146" s="186" t="s">
        <v>418</v>
      </c>
      <c r="C146" s="33"/>
      <c r="D146" s="30"/>
      <c r="E146" s="33"/>
      <c r="F146" s="55">
        <f t="shared" si="22"/>
        <v>0</v>
      </c>
      <c r="G146" s="36">
        <f>SUM(G147)</f>
        <v>0</v>
      </c>
      <c r="H146" s="36">
        <f>SUM(H147)</f>
        <v>0</v>
      </c>
      <c r="I146" s="101">
        <f t="shared" si="17"/>
        <v>0</v>
      </c>
      <c r="J146" s="77">
        <f>SUM(J147)</f>
        <v>0</v>
      </c>
      <c r="K146" s="77">
        <f>SUM(K147)</f>
        <v>0</v>
      </c>
      <c r="L146" s="102">
        <f t="shared" si="18"/>
        <v>0</v>
      </c>
      <c r="M146" s="78">
        <f>SUM(M147)</f>
        <v>0</v>
      </c>
      <c r="N146" s="78">
        <f>SUM(N147)</f>
        <v>0</v>
      </c>
      <c r="O146" s="15"/>
      <c r="P146" s="15"/>
    </row>
    <row r="147" spans="1:16" s="11" customFormat="1" ht="41.25">
      <c r="A147" s="54" t="s">
        <v>420</v>
      </c>
      <c r="B147" s="187" t="s">
        <v>419</v>
      </c>
      <c r="C147" s="33" t="s">
        <v>355</v>
      </c>
      <c r="D147" s="33" t="s">
        <v>399</v>
      </c>
      <c r="E147" s="33" t="s">
        <v>219</v>
      </c>
      <c r="F147" s="46">
        <f t="shared" si="22"/>
        <v>0</v>
      </c>
      <c r="G147" s="51"/>
      <c r="H147" s="51"/>
      <c r="I147" s="48">
        <f t="shared" si="17"/>
        <v>0</v>
      </c>
      <c r="J147" s="52"/>
      <c r="K147" s="269"/>
      <c r="L147" s="39">
        <f t="shared" si="18"/>
        <v>0</v>
      </c>
      <c r="M147" s="53"/>
      <c r="N147" s="53"/>
      <c r="O147" s="15"/>
      <c r="P147" s="15"/>
    </row>
    <row r="148" spans="1:16" s="11" customFormat="1" ht="27">
      <c r="A148" s="106" t="s">
        <v>323</v>
      </c>
      <c r="B148" s="194" t="s">
        <v>421</v>
      </c>
      <c r="C148" s="42"/>
      <c r="D148" s="34"/>
      <c r="E148" s="42"/>
      <c r="F148" s="43">
        <f t="shared" si="22"/>
        <v>54133</v>
      </c>
      <c r="G148" s="43">
        <f>SUM(G149,G153)</f>
        <v>54133</v>
      </c>
      <c r="H148" s="43">
        <f>SUM(H149,H153)</f>
        <v>0</v>
      </c>
      <c r="I148" s="80">
        <f t="shared" si="17"/>
        <v>58163</v>
      </c>
      <c r="J148" s="80">
        <f>SUM(J149,J153)</f>
        <v>58163</v>
      </c>
      <c r="K148" s="80">
        <f>SUM(K149,K153)</f>
        <v>0</v>
      </c>
      <c r="L148" s="81">
        <f t="shared" si="18"/>
        <v>59715</v>
      </c>
      <c r="M148" s="81">
        <f>SUM(M149,M153)</f>
        <v>59715</v>
      </c>
      <c r="N148" s="81">
        <f>SUM(N149,N153)</f>
        <v>0</v>
      </c>
      <c r="O148" s="15"/>
      <c r="P148" s="15"/>
    </row>
    <row r="149" spans="1:16" s="11" customFormat="1" ht="41.25">
      <c r="A149" s="35" t="s">
        <v>413</v>
      </c>
      <c r="B149" s="186" t="s">
        <v>422</v>
      </c>
      <c r="C149" s="33"/>
      <c r="D149" s="30"/>
      <c r="E149" s="31"/>
      <c r="F149" s="55">
        <f t="shared" si="22"/>
        <v>24119</v>
      </c>
      <c r="G149" s="36">
        <f>SUM(G150,G151,G152)</f>
        <v>24119</v>
      </c>
      <c r="H149" s="36">
        <f>SUM(H150,H151,H152)</f>
        <v>0</v>
      </c>
      <c r="I149" s="101">
        <f t="shared" si="17"/>
        <v>24990</v>
      </c>
      <c r="J149" s="77">
        <f>SUM(J150,J151,J152)</f>
        <v>24990</v>
      </c>
      <c r="K149" s="77">
        <f>SUM(K150,K151,K152)</f>
        <v>0</v>
      </c>
      <c r="L149" s="102">
        <f t="shared" si="18"/>
        <v>25728</v>
      </c>
      <c r="M149" s="78">
        <f>SUM(M150,M151,M152)</f>
        <v>25728</v>
      </c>
      <c r="N149" s="78">
        <f>SUM(N150,N151,N152)</f>
        <v>0</v>
      </c>
      <c r="O149" s="15"/>
      <c r="P149" s="15"/>
    </row>
    <row r="150" spans="1:16" s="11" customFormat="1" ht="27">
      <c r="A150" s="107" t="s">
        <v>416</v>
      </c>
      <c r="B150" s="187" t="s">
        <v>423</v>
      </c>
      <c r="C150" s="33" t="s">
        <v>237</v>
      </c>
      <c r="D150" s="33" t="s">
        <v>240</v>
      </c>
      <c r="E150" s="33" t="s">
        <v>294</v>
      </c>
      <c r="F150" s="46">
        <f t="shared" si="22"/>
        <v>20055</v>
      </c>
      <c r="G150" s="167">
        <f>20055</f>
        <v>20055</v>
      </c>
      <c r="H150" s="46"/>
      <c r="I150" s="48">
        <f t="shared" si="17"/>
        <v>20926</v>
      </c>
      <c r="J150" s="48">
        <f>20926</f>
        <v>20926</v>
      </c>
      <c r="K150" s="273"/>
      <c r="L150" s="39">
        <f t="shared" si="18"/>
        <v>21664</v>
      </c>
      <c r="M150" s="39">
        <f>21664</f>
        <v>21664</v>
      </c>
      <c r="N150" s="39"/>
      <c r="O150" s="15"/>
      <c r="P150" s="15"/>
    </row>
    <row r="151" spans="1:16" s="11" customFormat="1" ht="27">
      <c r="A151" s="107" t="s">
        <v>416</v>
      </c>
      <c r="B151" s="187" t="s">
        <v>423</v>
      </c>
      <c r="C151" s="33" t="s">
        <v>238</v>
      </c>
      <c r="D151" s="33" t="s">
        <v>240</v>
      </c>
      <c r="E151" s="33" t="s">
        <v>294</v>
      </c>
      <c r="F151" s="46">
        <f t="shared" si="22"/>
        <v>3003</v>
      </c>
      <c r="G151" s="167">
        <f>3003</f>
        <v>3003</v>
      </c>
      <c r="H151" s="46"/>
      <c r="I151" s="48">
        <f t="shared" si="17"/>
        <v>3003</v>
      </c>
      <c r="J151" s="48">
        <f>3003</f>
        <v>3003</v>
      </c>
      <c r="K151" s="273"/>
      <c r="L151" s="39">
        <f t="shared" si="18"/>
        <v>3003</v>
      </c>
      <c r="M151" s="39">
        <f>3003</f>
        <v>3003</v>
      </c>
      <c r="N151" s="39"/>
      <c r="O151" s="15"/>
      <c r="P151" s="15"/>
    </row>
    <row r="152" spans="1:16" s="11" customFormat="1" ht="27">
      <c r="A152" s="107" t="s">
        <v>416</v>
      </c>
      <c r="B152" s="187" t="s">
        <v>423</v>
      </c>
      <c r="C152" s="33" t="s">
        <v>239</v>
      </c>
      <c r="D152" s="33" t="s">
        <v>240</v>
      </c>
      <c r="E152" s="33" t="s">
        <v>294</v>
      </c>
      <c r="F152" s="46">
        <f t="shared" si="22"/>
        <v>1061</v>
      </c>
      <c r="G152" s="167">
        <f>1061</f>
        <v>1061</v>
      </c>
      <c r="H152" s="46"/>
      <c r="I152" s="48">
        <f t="shared" si="17"/>
        <v>1061</v>
      </c>
      <c r="J152" s="48">
        <f>1061</f>
        <v>1061</v>
      </c>
      <c r="K152" s="273"/>
      <c r="L152" s="39">
        <f t="shared" si="18"/>
        <v>1061</v>
      </c>
      <c r="M152" s="39">
        <f>1061</f>
        <v>1061</v>
      </c>
      <c r="N152" s="39"/>
      <c r="O152" s="15"/>
      <c r="P152" s="15"/>
    </row>
    <row r="153" spans="1:16" s="11" customFormat="1" ht="41.25">
      <c r="A153" s="142" t="s">
        <v>424</v>
      </c>
      <c r="B153" s="190" t="s">
        <v>425</v>
      </c>
      <c r="C153" s="85"/>
      <c r="D153" s="30"/>
      <c r="E153" s="31"/>
      <c r="F153" s="55">
        <f t="shared" si="22"/>
        <v>30014</v>
      </c>
      <c r="G153" s="36">
        <f>SUM(G154,G155,G156)</f>
        <v>30014</v>
      </c>
      <c r="H153" s="36">
        <f>SUM(H154,H155,H156)</f>
        <v>0</v>
      </c>
      <c r="I153" s="101">
        <f t="shared" si="17"/>
        <v>33173</v>
      </c>
      <c r="J153" s="77">
        <f>SUM(J154,J155,J156)</f>
        <v>33173</v>
      </c>
      <c r="K153" s="77">
        <f>SUM(K154,K155,K156)</f>
        <v>0</v>
      </c>
      <c r="L153" s="102">
        <f t="shared" si="18"/>
        <v>33987</v>
      </c>
      <c r="M153" s="78">
        <f>SUM(M154,M155,M156)</f>
        <v>33987</v>
      </c>
      <c r="N153" s="78">
        <f>SUM(N154,N155,N156)</f>
        <v>0</v>
      </c>
      <c r="O153" s="15"/>
      <c r="P153" s="15"/>
    </row>
    <row r="154" spans="1:16" s="11" customFormat="1" ht="41.25">
      <c r="A154" s="61" t="s">
        <v>334</v>
      </c>
      <c r="B154" s="188" t="s">
        <v>426</v>
      </c>
      <c r="C154" s="62" t="s">
        <v>237</v>
      </c>
      <c r="D154" s="85" t="s">
        <v>325</v>
      </c>
      <c r="E154" s="85" t="s">
        <v>325</v>
      </c>
      <c r="F154" s="46">
        <f t="shared" si="22"/>
        <v>22089</v>
      </c>
      <c r="G154" s="167">
        <f>22089</f>
        <v>22089</v>
      </c>
      <c r="H154" s="46"/>
      <c r="I154" s="48">
        <f t="shared" si="17"/>
        <v>23048</v>
      </c>
      <c r="J154" s="48">
        <f>23048</f>
        <v>23048</v>
      </c>
      <c r="K154" s="273"/>
      <c r="L154" s="39">
        <f t="shared" si="18"/>
        <v>23862</v>
      </c>
      <c r="M154" s="39">
        <f>23862</f>
        <v>23862</v>
      </c>
      <c r="N154" s="39"/>
      <c r="O154" s="15"/>
      <c r="P154" s="15"/>
    </row>
    <row r="155" spans="1:16" s="11" customFormat="1" ht="41.25">
      <c r="A155" s="61" t="s">
        <v>334</v>
      </c>
      <c r="B155" s="188" t="s">
        <v>426</v>
      </c>
      <c r="C155" s="62" t="s">
        <v>238</v>
      </c>
      <c r="D155" s="85" t="s">
        <v>325</v>
      </c>
      <c r="E155" s="85" t="s">
        <v>325</v>
      </c>
      <c r="F155" s="46">
        <f t="shared" si="22"/>
        <v>1702</v>
      </c>
      <c r="G155" s="167">
        <f>1702</f>
        <v>1702</v>
      </c>
      <c r="H155" s="46"/>
      <c r="I155" s="48">
        <f t="shared" si="17"/>
        <v>1402</v>
      </c>
      <c r="J155" s="48">
        <f>1402</f>
        <v>1402</v>
      </c>
      <c r="K155" s="273"/>
      <c r="L155" s="39">
        <f t="shared" si="18"/>
        <v>1402</v>
      </c>
      <c r="M155" s="39">
        <f>1402</f>
        <v>1402</v>
      </c>
      <c r="N155" s="39"/>
      <c r="O155" s="15"/>
      <c r="P155" s="15"/>
    </row>
    <row r="156" spans="1:16" s="11" customFormat="1" ht="41.25">
      <c r="A156" s="61" t="s">
        <v>334</v>
      </c>
      <c r="B156" s="188" t="s">
        <v>426</v>
      </c>
      <c r="C156" s="62" t="s">
        <v>239</v>
      </c>
      <c r="D156" s="85" t="s">
        <v>325</v>
      </c>
      <c r="E156" s="85" t="s">
        <v>325</v>
      </c>
      <c r="F156" s="46">
        <f t="shared" si="22"/>
        <v>6223</v>
      </c>
      <c r="G156" s="167">
        <f>8723-2500</f>
        <v>6223</v>
      </c>
      <c r="H156" s="46"/>
      <c r="I156" s="48">
        <f t="shared" si="17"/>
        <v>8723</v>
      </c>
      <c r="J156" s="48">
        <f>8723</f>
        <v>8723</v>
      </c>
      <c r="K156" s="273"/>
      <c r="L156" s="39">
        <f t="shared" si="18"/>
        <v>8723</v>
      </c>
      <c r="M156" s="39">
        <f>8723</f>
        <v>8723</v>
      </c>
      <c r="N156" s="39"/>
      <c r="O156" s="15"/>
      <c r="P156" s="15"/>
    </row>
    <row r="157" spans="1:16" s="11" customFormat="1" ht="13.5">
      <c r="A157" s="61"/>
      <c r="B157" s="188"/>
      <c r="C157" s="62"/>
      <c r="D157" s="85"/>
      <c r="E157" s="85"/>
      <c r="F157" s="46"/>
      <c r="G157" s="46"/>
      <c r="H157" s="46"/>
      <c r="I157" s="48"/>
      <c r="J157" s="48"/>
      <c r="K157" s="273"/>
      <c r="L157" s="39"/>
      <c r="M157" s="39"/>
      <c r="N157" s="39"/>
      <c r="O157" s="15"/>
      <c r="P157" s="15"/>
    </row>
    <row r="158" spans="1:16" s="11" customFormat="1" ht="41.25">
      <c r="A158" s="41" t="s">
        <v>437</v>
      </c>
      <c r="B158" s="198" t="s">
        <v>325</v>
      </c>
      <c r="C158" s="42"/>
      <c r="D158" s="34"/>
      <c r="E158" s="42"/>
      <c r="F158" s="43">
        <f t="shared" si="22"/>
        <v>4870196</v>
      </c>
      <c r="G158" s="43">
        <f>SUM(G159,G180,G212,G223,G233)</f>
        <v>1972819</v>
      </c>
      <c r="H158" s="43">
        <f>SUM(H159,H180,H212,H223,H233)</f>
        <v>2897377</v>
      </c>
      <c r="I158" s="80">
        <f t="shared" si="17"/>
        <v>5084587</v>
      </c>
      <c r="J158" s="80">
        <f>SUM(J159,J180,J212,J223,J233)</f>
        <v>1980562</v>
      </c>
      <c r="K158" s="80">
        <f>SUM(K159,K180,K212,K223,K233)</f>
        <v>3104025</v>
      </c>
      <c r="L158" s="81">
        <f t="shared" si="18"/>
        <v>5253717</v>
      </c>
      <c r="M158" s="81">
        <f>SUM(M159,M180,M212,M223,M233)</f>
        <v>1987056</v>
      </c>
      <c r="N158" s="81">
        <f>SUM(N159,N180,N212,N223,N233)</f>
        <v>3266661</v>
      </c>
      <c r="O158" s="15"/>
      <c r="P158" s="15"/>
    </row>
    <row r="159" spans="1:16" s="11" customFormat="1" ht="27">
      <c r="A159" s="41" t="s">
        <v>438</v>
      </c>
      <c r="B159" s="198" t="s">
        <v>439</v>
      </c>
      <c r="C159" s="42"/>
      <c r="D159" s="34"/>
      <c r="E159" s="42"/>
      <c r="F159" s="43">
        <f t="shared" si="22"/>
        <v>1734396</v>
      </c>
      <c r="G159" s="73">
        <f>SUM(G160,G162,G170,G175)</f>
        <v>794111</v>
      </c>
      <c r="H159" s="73">
        <f>SUM(H160,H162,H170,H175)</f>
        <v>940285</v>
      </c>
      <c r="I159" s="80">
        <f t="shared" si="17"/>
        <v>1815617</v>
      </c>
      <c r="J159" s="91">
        <f>SUM(J160,J162,J170,J175)</f>
        <v>797111</v>
      </c>
      <c r="K159" s="91">
        <f>SUM(K160,K162,K170,K175)</f>
        <v>1018506</v>
      </c>
      <c r="L159" s="81">
        <f t="shared" si="18"/>
        <v>1872597</v>
      </c>
      <c r="M159" s="92">
        <f>SUM(M160,M162,M170,M175)</f>
        <v>798111</v>
      </c>
      <c r="N159" s="92">
        <f>SUM(N160,N162,N170,N175)</f>
        <v>1074486</v>
      </c>
      <c r="O159" s="15"/>
      <c r="P159" s="15"/>
    </row>
    <row r="160" spans="1:16" s="11" customFormat="1" ht="82.5">
      <c r="A160" s="93" t="s">
        <v>440</v>
      </c>
      <c r="B160" s="199" t="s">
        <v>441</v>
      </c>
      <c r="C160" s="33"/>
      <c r="D160" s="30"/>
      <c r="E160" s="31"/>
      <c r="F160" s="55">
        <f t="shared" si="22"/>
        <v>823253</v>
      </c>
      <c r="G160" s="36">
        <f>SUM(G161)</f>
        <v>0</v>
      </c>
      <c r="H160" s="36">
        <f>SUM(H161)</f>
        <v>823253</v>
      </c>
      <c r="I160" s="101">
        <f t="shared" si="17"/>
        <v>901474</v>
      </c>
      <c r="J160" s="77">
        <f>SUM(J161)</f>
        <v>0</v>
      </c>
      <c r="K160" s="77">
        <f>SUM(K161)</f>
        <v>901474</v>
      </c>
      <c r="L160" s="102">
        <f aca="true" t="shared" si="23" ref="L160:L237">SUM(M160:N160)</f>
        <v>954178</v>
      </c>
      <c r="M160" s="78">
        <f>SUM(M161)</f>
        <v>0</v>
      </c>
      <c r="N160" s="78">
        <f>SUM(N161)</f>
        <v>954178</v>
      </c>
      <c r="O160" s="15"/>
      <c r="P160" s="15"/>
    </row>
    <row r="161" spans="1:16" s="11" customFormat="1" ht="32.25" customHeight="1">
      <c r="A161" s="35" t="s">
        <v>444</v>
      </c>
      <c r="B161" s="193" t="s">
        <v>443</v>
      </c>
      <c r="C161" s="33" t="s">
        <v>274</v>
      </c>
      <c r="D161" s="122" t="s">
        <v>241</v>
      </c>
      <c r="E161" s="33" t="s">
        <v>218</v>
      </c>
      <c r="F161" s="46">
        <f t="shared" si="22"/>
        <v>823253</v>
      </c>
      <c r="G161" s="51"/>
      <c r="H161" s="51">
        <f>779652+43601</f>
        <v>823253</v>
      </c>
      <c r="I161" s="48">
        <f t="shared" si="17"/>
        <v>901474</v>
      </c>
      <c r="J161" s="52"/>
      <c r="K161" s="269">
        <f>830065+71409</f>
        <v>901474</v>
      </c>
      <c r="L161" s="39">
        <f t="shared" si="23"/>
        <v>954178</v>
      </c>
      <c r="M161" s="53"/>
      <c r="N161" s="53">
        <f>954178</f>
        <v>954178</v>
      </c>
      <c r="O161" s="15"/>
      <c r="P161" s="15"/>
    </row>
    <row r="162" spans="1:16" s="11" customFormat="1" ht="41.25">
      <c r="A162" s="63" t="s">
        <v>445</v>
      </c>
      <c r="B162" s="199" t="s">
        <v>446</v>
      </c>
      <c r="C162" s="33"/>
      <c r="D162" s="30"/>
      <c r="E162" s="31"/>
      <c r="F162" s="55">
        <f t="shared" si="22"/>
        <v>3200</v>
      </c>
      <c r="G162" s="68">
        <f>SUM(G163,G164,G165,G166,G167,G168,G169)</f>
        <v>3200</v>
      </c>
      <c r="H162" s="68">
        <f>SUM(H163,H164,H165,H166,H167,H168,H169)</f>
        <v>0</v>
      </c>
      <c r="I162" s="101">
        <f t="shared" si="17"/>
        <v>3200</v>
      </c>
      <c r="J162" s="83">
        <f>SUM(J163,J164,J165,J166,J167,J168,J169)</f>
        <v>3200</v>
      </c>
      <c r="K162" s="83">
        <f>SUM(K163,K164,K165,K166,K167,K168,K169)</f>
        <v>0</v>
      </c>
      <c r="L162" s="102">
        <f t="shared" si="23"/>
        <v>3200</v>
      </c>
      <c r="M162" s="84">
        <f>SUM(M163,M164,M165,M166,M167,M168,M169)</f>
        <v>3200</v>
      </c>
      <c r="N162" s="84">
        <f>SUM(N163,N164,N165,N166,N167,N168,N169)</f>
        <v>0</v>
      </c>
      <c r="O162" s="15"/>
      <c r="P162" s="15"/>
    </row>
    <row r="163" spans="1:16" s="11" customFormat="1" ht="27">
      <c r="A163" s="143" t="s">
        <v>448</v>
      </c>
      <c r="B163" s="193" t="s">
        <v>447</v>
      </c>
      <c r="C163" s="33" t="s">
        <v>274</v>
      </c>
      <c r="D163" s="122" t="s">
        <v>241</v>
      </c>
      <c r="E163" s="33" t="s">
        <v>218</v>
      </c>
      <c r="F163" s="46">
        <f t="shared" si="22"/>
        <v>3200</v>
      </c>
      <c r="G163" s="51">
        <f>3200</f>
        <v>3200</v>
      </c>
      <c r="H163" s="51"/>
      <c r="I163" s="48">
        <f t="shared" si="17"/>
        <v>3200</v>
      </c>
      <c r="J163" s="52">
        <f>3200</f>
        <v>3200</v>
      </c>
      <c r="K163" s="269"/>
      <c r="L163" s="39">
        <f t="shared" si="23"/>
        <v>3200</v>
      </c>
      <c r="M163" s="53">
        <f>3200</f>
        <v>3200</v>
      </c>
      <c r="N163" s="53"/>
      <c r="O163" s="15"/>
      <c r="P163" s="15"/>
    </row>
    <row r="164" spans="1:14" s="9" customFormat="1" ht="42.75" customHeight="1">
      <c r="A164" s="35" t="s">
        <v>452</v>
      </c>
      <c r="B164" s="187" t="s">
        <v>449</v>
      </c>
      <c r="C164" s="33" t="s">
        <v>238</v>
      </c>
      <c r="D164" s="122" t="s">
        <v>241</v>
      </c>
      <c r="E164" s="33" t="s">
        <v>218</v>
      </c>
      <c r="F164" s="55">
        <f t="shared" si="22"/>
        <v>0</v>
      </c>
      <c r="G164" s="56"/>
      <c r="H164" s="56"/>
      <c r="I164" s="57">
        <f t="shared" si="17"/>
        <v>0</v>
      </c>
      <c r="J164" s="58"/>
      <c r="K164" s="270"/>
      <c r="L164" s="59">
        <f t="shared" si="23"/>
        <v>0</v>
      </c>
      <c r="M164" s="60"/>
      <c r="N164" s="60"/>
    </row>
    <row r="165" spans="1:16" s="11" customFormat="1" ht="41.25">
      <c r="A165" s="35" t="s">
        <v>451</v>
      </c>
      <c r="B165" s="193" t="s">
        <v>450</v>
      </c>
      <c r="C165" s="33" t="s">
        <v>279</v>
      </c>
      <c r="D165" s="122" t="s">
        <v>241</v>
      </c>
      <c r="E165" s="33" t="s">
        <v>218</v>
      </c>
      <c r="F165" s="46">
        <f t="shared" si="22"/>
        <v>0</v>
      </c>
      <c r="G165" s="51"/>
      <c r="H165" s="51"/>
      <c r="I165" s="48">
        <f t="shared" si="17"/>
        <v>0</v>
      </c>
      <c r="J165" s="52"/>
      <c r="K165" s="269"/>
      <c r="L165" s="39">
        <f t="shared" si="23"/>
        <v>0</v>
      </c>
      <c r="M165" s="53"/>
      <c r="N165" s="53"/>
      <c r="O165" s="15"/>
      <c r="P165" s="15"/>
    </row>
    <row r="166" spans="1:16" s="11" customFormat="1" ht="54.75">
      <c r="A166" s="115" t="s">
        <v>547</v>
      </c>
      <c r="B166" s="237" t="s">
        <v>645</v>
      </c>
      <c r="C166" s="12" t="s">
        <v>279</v>
      </c>
      <c r="D166" s="12" t="s">
        <v>241</v>
      </c>
      <c r="E166" s="12" t="s">
        <v>218</v>
      </c>
      <c r="F166" s="167">
        <f t="shared" si="22"/>
        <v>0</v>
      </c>
      <c r="G166" s="168"/>
      <c r="H166" s="168">
        <v>0</v>
      </c>
      <c r="I166" s="169">
        <f t="shared" si="17"/>
        <v>0</v>
      </c>
      <c r="J166" s="170"/>
      <c r="K166" s="170">
        <v>0</v>
      </c>
      <c r="L166" s="171">
        <f t="shared" si="23"/>
        <v>0</v>
      </c>
      <c r="M166" s="135"/>
      <c r="N166" s="135"/>
      <c r="O166" s="15"/>
      <c r="P166" s="15"/>
    </row>
    <row r="167" spans="1:14" s="11" customFormat="1" ht="43.5" customHeight="1">
      <c r="A167" s="115" t="s">
        <v>94</v>
      </c>
      <c r="B167" s="200" t="s">
        <v>95</v>
      </c>
      <c r="C167" s="12" t="s">
        <v>279</v>
      </c>
      <c r="D167" s="166" t="s">
        <v>241</v>
      </c>
      <c r="E167" s="166" t="s">
        <v>218</v>
      </c>
      <c r="F167" s="167">
        <f t="shared" si="22"/>
        <v>0</v>
      </c>
      <c r="G167" s="168"/>
      <c r="H167" s="168"/>
      <c r="I167" s="169">
        <f t="shared" si="17"/>
        <v>0</v>
      </c>
      <c r="J167" s="170"/>
      <c r="K167" s="170"/>
      <c r="L167" s="171">
        <f t="shared" si="23"/>
        <v>0</v>
      </c>
      <c r="M167" s="135"/>
      <c r="N167" s="135"/>
    </row>
    <row r="168" spans="1:16" s="11" customFormat="1" ht="59.25" customHeight="1">
      <c r="A168" s="115" t="s">
        <v>541</v>
      </c>
      <c r="B168" s="200" t="s">
        <v>542</v>
      </c>
      <c r="C168" s="166" t="s">
        <v>279</v>
      </c>
      <c r="D168" s="166" t="s">
        <v>241</v>
      </c>
      <c r="E168" s="166" t="s">
        <v>218</v>
      </c>
      <c r="F168" s="167">
        <f>SUM(G168:H168)</f>
        <v>0</v>
      </c>
      <c r="G168" s="168"/>
      <c r="H168" s="168"/>
      <c r="I168" s="169">
        <f>SUM(J168:K168)</f>
        <v>0</v>
      </c>
      <c r="J168" s="170"/>
      <c r="K168" s="170"/>
      <c r="L168" s="171">
        <f>SUM(M168:N168)</f>
        <v>0</v>
      </c>
      <c r="M168" s="135"/>
      <c r="N168" s="135"/>
      <c r="O168" s="15"/>
      <c r="P168" s="15"/>
    </row>
    <row r="169" spans="1:14" s="9" customFormat="1" ht="54.75">
      <c r="A169" s="115" t="s">
        <v>665</v>
      </c>
      <c r="B169" s="219" t="s">
        <v>666</v>
      </c>
      <c r="C169" s="166" t="s">
        <v>279</v>
      </c>
      <c r="D169" s="166" t="s">
        <v>241</v>
      </c>
      <c r="E169" s="166" t="s">
        <v>218</v>
      </c>
      <c r="F169" s="167">
        <f>SUM(G169:H169)</f>
        <v>0</v>
      </c>
      <c r="G169" s="168"/>
      <c r="H169" s="168"/>
      <c r="I169" s="169">
        <f>SUM(J169:K169)</f>
        <v>0</v>
      </c>
      <c r="J169" s="170"/>
      <c r="K169" s="170"/>
      <c r="L169" s="171">
        <f>SUM(M169:N169)</f>
        <v>0</v>
      </c>
      <c r="M169" s="135"/>
      <c r="N169" s="135"/>
    </row>
    <row r="170" spans="1:16" s="11" customFormat="1" ht="60" customHeight="1">
      <c r="A170" s="63" t="s">
        <v>453</v>
      </c>
      <c r="B170" s="199" t="s">
        <v>454</v>
      </c>
      <c r="C170" s="33"/>
      <c r="D170" s="30"/>
      <c r="E170" s="31"/>
      <c r="F170" s="55">
        <f t="shared" si="22"/>
        <v>70043</v>
      </c>
      <c r="G170" s="36">
        <f>SUM(G171,G172,G173,G174)</f>
        <v>35124</v>
      </c>
      <c r="H170" s="36">
        <f>SUM(H171,H172,H173,H174)</f>
        <v>34919</v>
      </c>
      <c r="I170" s="101">
        <f t="shared" si="17"/>
        <v>70043</v>
      </c>
      <c r="J170" s="77">
        <f>SUM(J171,J172,J173,J174)</f>
        <v>35124</v>
      </c>
      <c r="K170" s="77">
        <f>SUM(K171,K172,K173,K174)</f>
        <v>34919</v>
      </c>
      <c r="L170" s="102">
        <f t="shared" si="23"/>
        <v>70043</v>
      </c>
      <c r="M170" s="78">
        <f>SUM(M171,M172,M173,M174)</f>
        <v>35124</v>
      </c>
      <c r="N170" s="78">
        <f>SUM(N171,N172,N173,N174)</f>
        <v>34919</v>
      </c>
      <c r="O170" s="15"/>
      <c r="P170" s="15"/>
    </row>
    <row r="171" spans="1:16" s="11" customFormat="1" ht="87" customHeight="1">
      <c r="A171" s="63" t="s">
        <v>456</v>
      </c>
      <c r="B171" s="193" t="s">
        <v>455</v>
      </c>
      <c r="C171" s="33" t="s">
        <v>355</v>
      </c>
      <c r="D171" s="122" t="s">
        <v>241</v>
      </c>
      <c r="E171" s="33" t="s">
        <v>218</v>
      </c>
      <c r="F171" s="46">
        <f t="shared" si="22"/>
        <v>26000</v>
      </c>
      <c r="G171" s="51">
        <f>26000</f>
        <v>26000</v>
      </c>
      <c r="H171" s="51"/>
      <c r="I171" s="48">
        <f aca="true" t="shared" si="24" ref="I171:I244">SUM(J171:K171)</f>
        <v>26000</v>
      </c>
      <c r="J171" s="52">
        <f>26000</f>
        <v>26000</v>
      </c>
      <c r="K171" s="269"/>
      <c r="L171" s="39">
        <f t="shared" si="23"/>
        <v>26000</v>
      </c>
      <c r="M171" s="53">
        <f>26000</f>
        <v>26000</v>
      </c>
      <c r="N171" s="53"/>
      <c r="O171" s="15"/>
      <c r="P171" s="15"/>
    </row>
    <row r="172" spans="1:16" s="11" customFormat="1" ht="27">
      <c r="A172" s="143" t="s">
        <v>458</v>
      </c>
      <c r="B172" s="193" t="s">
        <v>457</v>
      </c>
      <c r="C172" s="33" t="s">
        <v>274</v>
      </c>
      <c r="D172" s="122" t="s">
        <v>241</v>
      </c>
      <c r="E172" s="33" t="s">
        <v>218</v>
      </c>
      <c r="F172" s="55">
        <f t="shared" si="22"/>
        <v>9124</v>
      </c>
      <c r="G172" s="56">
        <f>9124</f>
        <v>9124</v>
      </c>
      <c r="H172" s="56"/>
      <c r="I172" s="57">
        <f t="shared" si="24"/>
        <v>9124</v>
      </c>
      <c r="J172" s="58">
        <f>9124</f>
        <v>9124</v>
      </c>
      <c r="K172" s="270"/>
      <c r="L172" s="59">
        <f t="shared" si="23"/>
        <v>9124</v>
      </c>
      <c r="M172" s="60">
        <f>9124</f>
        <v>9124</v>
      </c>
      <c r="N172" s="60"/>
      <c r="O172" s="15"/>
      <c r="P172" s="15"/>
    </row>
    <row r="173" spans="1:16" s="11" customFormat="1" ht="41.25">
      <c r="A173" s="93" t="s">
        <v>460</v>
      </c>
      <c r="B173" s="193" t="s">
        <v>459</v>
      </c>
      <c r="C173" s="33" t="s">
        <v>355</v>
      </c>
      <c r="D173" s="122" t="s">
        <v>241</v>
      </c>
      <c r="E173" s="33" t="s">
        <v>218</v>
      </c>
      <c r="F173" s="46">
        <f t="shared" si="22"/>
        <v>24919</v>
      </c>
      <c r="G173" s="51"/>
      <c r="H173" s="51">
        <v>24919</v>
      </c>
      <c r="I173" s="48">
        <f t="shared" si="24"/>
        <v>24919</v>
      </c>
      <c r="J173" s="52"/>
      <c r="K173" s="269">
        <v>24919</v>
      </c>
      <c r="L173" s="39">
        <f t="shared" si="23"/>
        <v>24919</v>
      </c>
      <c r="M173" s="53"/>
      <c r="N173" s="53">
        <f>24919</f>
        <v>24919</v>
      </c>
      <c r="O173" s="15"/>
      <c r="P173" s="15"/>
    </row>
    <row r="174" spans="1:16" s="11" customFormat="1" ht="87.75" customHeight="1">
      <c r="A174" s="93" t="s">
        <v>460</v>
      </c>
      <c r="B174" s="193" t="s">
        <v>459</v>
      </c>
      <c r="C174" s="33" t="s">
        <v>274</v>
      </c>
      <c r="D174" s="122" t="s">
        <v>241</v>
      </c>
      <c r="E174" s="33" t="s">
        <v>218</v>
      </c>
      <c r="F174" s="46">
        <f t="shared" si="22"/>
        <v>10000</v>
      </c>
      <c r="G174" s="51"/>
      <c r="H174" s="51">
        <v>10000</v>
      </c>
      <c r="I174" s="48">
        <f t="shared" si="24"/>
        <v>10000</v>
      </c>
      <c r="J174" s="52"/>
      <c r="K174" s="269">
        <v>10000</v>
      </c>
      <c r="L174" s="39">
        <f t="shared" si="23"/>
        <v>10000</v>
      </c>
      <c r="M174" s="53"/>
      <c r="N174" s="53">
        <f>10000</f>
        <v>10000</v>
      </c>
      <c r="O174" s="15"/>
      <c r="P174" s="15"/>
    </row>
    <row r="175" spans="1:16" s="11" customFormat="1" ht="75" customHeight="1">
      <c r="A175" s="35" t="s">
        <v>461</v>
      </c>
      <c r="B175" s="199" t="s">
        <v>462</v>
      </c>
      <c r="C175" s="33"/>
      <c r="D175" s="30"/>
      <c r="E175" s="31"/>
      <c r="F175" s="55">
        <f t="shared" si="22"/>
        <v>837900</v>
      </c>
      <c r="G175" s="36">
        <f>SUM(G176,G177,G178,G179)</f>
        <v>755787</v>
      </c>
      <c r="H175" s="36">
        <f>SUM(H176,H177,H178,H179)</f>
        <v>82113</v>
      </c>
      <c r="I175" s="101">
        <f t="shared" si="24"/>
        <v>840900</v>
      </c>
      <c r="J175" s="77">
        <f>SUM(J176,J177,J178,J179)</f>
        <v>758787</v>
      </c>
      <c r="K175" s="77">
        <f>SUM(K176,K177,K178,K179)</f>
        <v>82113</v>
      </c>
      <c r="L175" s="102">
        <f t="shared" si="23"/>
        <v>845176</v>
      </c>
      <c r="M175" s="78">
        <f>SUM(M176,M177,M178,M179)</f>
        <v>759787</v>
      </c>
      <c r="N175" s="78">
        <f>SUM(N176,N177,N178,N179)</f>
        <v>85389</v>
      </c>
      <c r="O175" s="15"/>
      <c r="P175" s="15"/>
    </row>
    <row r="176" spans="1:14" s="28" customFormat="1" ht="41.25">
      <c r="A176" s="143" t="s">
        <v>466</v>
      </c>
      <c r="B176" s="193" t="s">
        <v>463</v>
      </c>
      <c r="C176" s="33" t="s">
        <v>274</v>
      </c>
      <c r="D176" s="122" t="s">
        <v>241</v>
      </c>
      <c r="E176" s="33" t="s">
        <v>218</v>
      </c>
      <c r="F176" s="46">
        <f t="shared" si="22"/>
        <v>755787</v>
      </c>
      <c r="G176" s="51">
        <f>755787</f>
        <v>755787</v>
      </c>
      <c r="H176" s="51"/>
      <c r="I176" s="48">
        <f t="shared" si="24"/>
        <v>758787</v>
      </c>
      <c r="J176" s="52">
        <f>758787</f>
        <v>758787</v>
      </c>
      <c r="K176" s="269"/>
      <c r="L176" s="39">
        <f t="shared" si="23"/>
        <v>759787</v>
      </c>
      <c r="M176" s="53">
        <f>759787</f>
        <v>759787</v>
      </c>
      <c r="N176" s="53"/>
    </row>
    <row r="177" spans="1:16" s="11" customFormat="1" ht="82.5">
      <c r="A177" s="144" t="s">
        <v>465</v>
      </c>
      <c r="B177" s="193" t="s">
        <v>464</v>
      </c>
      <c r="C177" s="33" t="s">
        <v>355</v>
      </c>
      <c r="D177" s="122" t="s">
        <v>399</v>
      </c>
      <c r="E177" s="33" t="s">
        <v>240</v>
      </c>
      <c r="F177" s="46">
        <f t="shared" si="22"/>
        <v>81898</v>
      </c>
      <c r="G177" s="46"/>
      <c r="H177" s="46">
        <v>81898</v>
      </c>
      <c r="I177" s="48">
        <f t="shared" si="24"/>
        <v>81898</v>
      </c>
      <c r="J177" s="48"/>
      <c r="K177" s="273">
        <v>81898</v>
      </c>
      <c r="L177" s="39">
        <f t="shared" si="23"/>
        <v>85174</v>
      </c>
      <c r="M177" s="39"/>
      <c r="N177" s="39">
        <f>85174</f>
        <v>85174</v>
      </c>
      <c r="O177" s="15"/>
      <c r="P177" s="15"/>
    </row>
    <row r="178" spans="1:16" s="11" customFormat="1" ht="82.5">
      <c r="A178" s="145" t="s">
        <v>96</v>
      </c>
      <c r="B178" s="201" t="s">
        <v>468</v>
      </c>
      <c r="C178" s="33" t="s">
        <v>274</v>
      </c>
      <c r="D178" s="62" t="s">
        <v>241</v>
      </c>
      <c r="E178" s="62" t="s">
        <v>218</v>
      </c>
      <c r="F178" s="46">
        <f>SUM(G178:H178)</f>
        <v>215</v>
      </c>
      <c r="G178" s="51"/>
      <c r="H178" s="51">
        <f>215</f>
        <v>215</v>
      </c>
      <c r="I178" s="88">
        <f>SUM(J178:K178)</f>
        <v>215</v>
      </c>
      <c r="J178" s="104"/>
      <c r="K178" s="104">
        <f>215</f>
        <v>215</v>
      </c>
      <c r="L178" s="89">
        <f>SUM(M178:N178)</f>
        <v>215</v>
      </c>
      <c r="M178" s="105"/>
      <c r="N178" s="105">
        <f>215</f>
        <v>215</v>
      </c>
      <c r="O178" s="15"/>
      <c r="P178" s="15"/>
    </row>
    <row r="179" spans="1:16" s="11" customFormat="1" ht="69">
      <c r="A179" s="63" t="s">
        <v>470</v>
      </c>
      <c r="B179" s="193" t="s">
        <v>469</v>
      </c>
      <c r="C179" s="33" t="s">
        <v>274</v>
      </c>
      <c r="D179" s="62" t="s">
        <v>241</v>
      </c>
      <c r="E179" s="62" t="s">
        <v>218</v>
      </c>
      <c r="F179" s="46">
        <f>SUM(G179:H179)</f>
        <v>0</v>
      </c>
      <c r="G179" s="51"/>
      <c r="H179" s="51">
        <f>215-215</f>
        <v>0</v>
      </c>
      <c r="I179" s="48">
        <f>SUM(J179:K179)</f>
        <v>0</v>
      </c>
      <c r="J179" s="52"/>
      <c r="K179" s="269">
        <f>215-215</f>
        <v>0</v>
      </c>
      <c r="L179" s="39">
        <f>SUM(M179:N179)</f>
        <v>0</v>
      </c>
      <c r="M179" s="53"/>
      <c r="N179" s="53"/>
      <c r="O179" s="15"/>
      <c r="P179" s="15"/>
    </row>
    <row r="180" spans="1:16" s="11" customFormat="1" ht="27">
      <c r="A180" s="41" t="s">
        <v>471</v>
      </c>
      <c r="B180" s="198" t="s">
        <v>472</v>
      </c>
      <c r="C180" s="42"/>
      <c r="D180" s="34"/>
      <c r="E180" s="42"/>
      <c r="F180" s="43">
        <f t="shared" si="22"/>
        <v>2547153</v>
      </c>
      <c r="G180" s="74">
        <f>SUM(G181,G187,G193,G195,G203,G209,)</f>
        <v>594889</v>
      </c>
      <c r="H180" s="74">
        <f>SUM(H181,H187,H193,H195,H203,H209,)</f>
        <v>1952264</v>
      </c>
      <c r="I180" s="80">
        <f>SUM(J180:K180)</f>
        <v>2665914</v>
      </c>
      <c r="J180" s="75">
        <f>SUM(J181,J187,J193,J195,J203,J209,)</f>
        <v>585223</v>
      </c>
      <c r="K180" s="75">
        <f>SUM(K181,K187,K193,K195,K203,K209,)</f>
        <v>2080691</v>
      </c>
      <c r="L180" s="81">
        <f>SUM(M180:N180)</f>
        <v>2772628</v>
      </c>
      <c r="M180" s="76">
        <f>SUM(M181,M187,M193,M195,M203,M209,)</f>
        <v>585281</v>
      </c>
      <c r="N180" s="76">
        <f>SUM(N181,N187,N193,N195,N203,N209,)</f>
        <v>2187347</v>
      </c>
      <c r="O180" s="15"/>
      <c r="P180" s="15"/>
    </row>
    <row r="181" spans="1:16" s="11" customFormat="1" ht="82.5">
      <c r="A181" s="63" t="s">
        <v>473</v>
      </c>
      <c r="B181" s="199" t="s">
        <v>474</v>
      </c>
      <c r="C181" s="33"/>
      <c r="D181" s="30"/>
      <c r="E181" s="31"/>
      <c r="F181" s="55">
        <f t="shared" si="22"/>
        <v>1899291</v>
      </c>
      <c r="G181" s="64">
        <f>SUM(G182,G183,G184,G185,G186)</f>
        <v>0</v>
      </c>
      <c r="H181" s="64">
        <f>SUM(H182,H183,H184,H185,H186)</f>
        <v>1899291</v>
      </c>
      <c r="I181" s="101">
        <f>SUM(J181:K181)</f>
        <v>2023802</v>
      </c>
      <c r="J181" s="112">
        <f>SUM(J182,J183,J184,J185,J186)</f>
        <v>0</v>
      </c>
      <c r="K181" s="112">
        <f>SUM(K182,K183,K184,K185,K186)</f>
        <v>2023802</v>
      </c>
      <c r="L181" s="102">
        <f>SUM(M181:N181)</f>
        <v>2129957</v>
      </c>
      <c r="M181" s="113">
        <f>SUM(M182,M183,M184,M185,M186)</f>
        <v>0</v>
      </c>
      <c r="N181" s="113">
        <f>SUM(N182,N183,N184,N185,N186)</f>
        <v>2129957</v>
      </c>
      <c r="O181" s="15"/>
      <c r="P181" s="15"/>
    </row>
    <row r="182" spans="1:16" s="11" customFormat="1" ht="82.5">
      <c r="A182" s="93" t="s">
        <v>476</v>
      </c>
      <c r="B182" s="193" t="s">
        <v>475</v>
      </c>
      <c r="C182" s="33" t="s">
        <v>237</v>
      </c>
      <c r="D182" s="122" t="s">
        <v>241</v>
      </c>
      <c r="E182" s="33" t="s">
        <v>356</v>
      </c>
      <c r="F182" s="46">
        <f t="shared" si="22"/>
        <v>29635</v>
      </c>
      <c r="G182" s="51"/>
      <c r="H182" s="51">
        <v>29635</v>
      </c>
      <c r="I182" s="48">
        <f t="shared" si="24"/>
        <v>30820</v>
      </c>
      <c r="J182" s="52"/>
      <c r="K182" s="269">
        <v>30820</v>
      </c>
      <c r="L182" s="39">
        <f t="shared" si="23"/>
        <v>34354</v>
      </c>
      <c r="M182" s="53"/>
      <c r="N182" s="53">
        <f>34354</f>
        <v>34354</v>
      </c>
      <c r="O182" s="15"/>
      <c r="P182" s="15"/>
    </row>
    <row r="183" spans="1:16" s="11" customFormat="1" ht="82.5">
      <c r="A183" s="93" t="s">
        <v>476</v>
      </c>
      <c r="B183" s="193" t="s">
        <v>475</v>
      </c>
      <c r="C183" s="33" t="s">
        <v>238</v>
      </c>
      <c r="D183" s="122" t="s">
        <v>241</v>
      </c>
      <c r="E183" s="33" t="s">
        <v>356</v>
      </c>
      <c r="F183" s="46">
        <f t="shared" si="22"/>
        <v>238</v>
      </c>
      <c r="G183" s="51"/>
      <c r="H183" s="51">
        <v>238</v>
      </c>
      <c r="I183" s="48">
        <f t="shared" si="24"/>
        <v>238</v>
      </c>
      <c r="J183" s="52"/>
      <c r="K183" s="269">
        <v>238</v>
      </c>
      <c r="L183" s="39">
        <f t="shared" si="23"/>
        <v>284</v>
      </c>
      <c r="M183" s="53"/>
      <c r="N183" s="53">
        <f>284</f>
        <v>284</v>
      </c>
      <c r="O183" s="15"/>
      <c r="P183" s="15"/>
    </row>
    <row r="184" spans="1:16" s="11" customFormat="1" ht="82.5">
      <c r="A184" s="93" t="s">
        <v>476</v>
      </c>
      <c r="B184" s="193" t="s">
        <v>475</v>
      </c>
      <c r="C184" s="33" t="s">
        <v>274</v>
      </c>
      <c r="D184" s="122" t="s">
        <v>241</v>
      </c>
      <c r="E184" s="33" t="s">
        <v>356</v>
      </c>
      <c r="F184" s="46">
        <f t="shared" si="22"/>
        <v>1846248</v>
      </c>
      <c r="G184" s="46"/>
      <c r="H184" s="46">
        <f>1776529+69719</f>
        <v>1846248</v>
      </c>
      <c r="I184" s="48">
        <f t="shared" si="24"/>
        <v>1969574</v>
      </c>
      <c r="J184" s="48"/>
      <c r="K184" s="273">
        <f>1860981+108593</f>
        <v>1969574</v>
      </c>
      <c r="L184" s="39">
        <f t="shared" si="23"/>
        <v>2072149</v>
      </c>
      <c r="M184" s="39"/>
      <c r="N184" s="39">
        <f>2072149</f>
        <v>2072149</v>
      </c>
      <c r="O184" s="15"/>
      <c r="P184" s="15"/>
    </row>
    <row r="185" spans="1:16" s="11" customFormat="1" ht="69">
      <c r="A185" s="93" t="s">
        <v>478</v>
      </c>
      <c r="B185" s="187" t="s">
        <v>477</v>
      </c>
      <c r="C185" s="33" t="s">
        <v>237</v>
      </c>
      <c r="D185" s="122" t="s">
        <v>241</v>
      </c>
      <c r="E185" s="33" t="s">
        <v>356</v>
      </c>
      <c r="F185" s="46">
        <f t="shared" si="22"/>
        <v>234</v>
      </c>
      <c r="G185" s="51"/>
      <c r="H185" s="51">
        <v>234</v>
      </c>
      <c r="I185" s="48">
        <f t="shared" si="24"/>
        <v>234</v>
      </c>
      <c r="J185" s="52"/>
      <c r="K185" s="269">
        <v>234</v>
      </c>
      <c r="L185" s="39">
        <f t="shared" si="23"/>
        <v>234</v>
      </c>
      <c r="M185" s="53"/>
      <c r="N185" s="53">
        <f>234</f>
        <v>234</v>
      </c>
      <c r="O185" s="15"/>
      <c r="P185" s="15"/>
    </row>
    <row r="186" spans="1:16" s="11" customFormat="1" ht="69">
      <c r="A186" s="93" t="s">
        <v>478</v>
      </c>
      <c r="B186" s="187" t="s">
        <v>477</v>
      </c>
      <c r="C186" s="33" t="s">
        <v>274</v>
      </c>
      <c r="D186" s="122" t="s">
        <v>241</v>
      </c>
      <c r="E186" s="33" t="s">
        <v>356</v>
      </c>
      <c r="F186" s="46">
        <f t="shared" si="22"/>
        <v>22936</v>
      </c>
      <c r="G186" s="46"/>
      <c r="H186" s="46">
        <v>22936</v>
      </c>
      <c r="I186" s="48">
        <f t="shared" si="24"/>
        <v>22936</v>
      </c>
      <c r="J186" s="48"/>
      <c r="K186" s="273">
        <v>22936</v>
      </c>
      <c r="L186" s="39">
        <f t="shared" si="23"/>
        <v>22936</v>
      </c>
      <c r="M186" s="39"/>
      <c r="N186" s="39">
        <f>22936</f>
        <v>22936</v>
      </c>
      <c r="O186" s="15"/>
      <c r="P186" s="15"/>
    </row>
    <row r="187" spans="1:14" s="11" customFormat="1" ht="27">
      <c r="A187" s="93" t="s">
        <v>479</v>
      </c>
      <c r="B187" s="199" t="s">
        <v>480</v>
      </c>
      <c r="C187" s="33"/>
      <c r="D187" s="30"/>
      <c r="E187" s="31"/>
      <c r="F187" s="55">
        <f t="shared" si="22"/>
        <v>13976</v>
      </c>
      <c r="G187" s="64">
        <f>SUM(G188,G189,G190,G191,G192)</f>
        <v>13976</v>
      </c>
      <c r="H187" s="64"/>
      <c r="I187" s="101">
        <f t="shared" si="24"/>
        <v>4200</v>
      </c>
      <c r="J187" s="112">
        <f>SUM(J188,J189,J190,J191,J192)</f>
        <v>4200</v>
      </c>
      <c r="K187" s="112"/>
      <c r="L187" s="102">
        <f t="shared" si="23"/>
        <v>4200</v>
      </c>
      <c r="M187" s="113">
        <f>SUM(M188,M189,M190,M191,M192)</f>
        <v>4200</v>
      </c>
      <c r="N187" s="113">
        <f>SUM(N188,N189,N190,N191,N192)</f>
        <v>0</v>
      </c>
    </row>
    <row r="188" spans="1:16" s="11" customFormat="1" ht="13.5">
      <c r="A188" s="93" t="s">
        <v>482</v>
      </c>
      <c r="B188" s="193" t="s">
        <v>481</v>
      </c>
      <c r="C188" s="33" t="s">
        <v>238</v>
      </c>
      <c r="D188" s="122" t="s">
        <v>241</v>
      </c>
      <c r="E188" s="33" t="s">
        <v>356</v>
      </c>
      <c r="F188" s="46">
        <f>SUM(G188:H188)</f>
        <v>0</v>
      </c>
      <c r="G188" s="51"/>
      <c r="H188" s="51"/>
      <c r="I188" s="48">
        <f>SUM(J188:K188)</f>
        <v>0</v>
      </c>
      <c r="J188" s="52"/>
      <c r="K188" s="269"/>
      <c r="L188" s="39">
        <f>SUM(M188:N188)</f>
        <v>0</v>
      </c>
      <c r="M188" s="53"/>
      <c r="N188" s="53"/>
      <c r="O188" s="15"/>
      <c r="P188" s="15"/>
    </row>
    <row r="189" spans="1:16" s="11" customFormat="1" ht="13.5">
      <c r="A189" s="93" t="s">
        <v>482</v>
      </c>
      <c r="B189" s="193" t="s">
        <v>481</v>
      </c>
      <c r="C189" s="33" t="s">
        <v>274</v>
      </c>
      <c r="D189" s="122" t="s">
        <v>241</v>
      </c>
      <c r="E189" s="33" t="s">
        <v>356</v>
      </c>
      <c r="F189" s="46">
        <f t="shared" si="22"/>
        <v>4200</v>
      </c>
      <c r="G189" s="51">
        <f>4200</f>
        <v>4200</v>
      </c>
      <c r="H189" s="51"/>
      <c r="I189" s="48">
        <f t="shared" si="24"/>
        <v>4200</v>
      </c>
      <c r="J189" s="52">
        <f>4200</f>
        <v>4200</v>
      </c>
      <c r="K189" s="269"/>
      <c r="L189" s="39">
        <f t="shared" si="23"/>
        <v>4200</v>
      </c>
      <c r="M189" s="53">
        <f>4200</f>
        <v>4200</v>
      </c>
      <c r="N189" s="53"/>
      <c r="O189" s="15"/>
      <c r="P189" s="15"/>
    </row>
    <row r="190" spans="1:16" s="11" customFormat="1" ht="27">
      <c r="A190" s="35" t="s">
        <v>452</v>
      </c>
      <c r="B190" s="187" t="s">
        <v>483</v>
      </c>
      <c r="C190" s="33" t="s">
        <v>238</v>
      </c>
      <c r="D190" s="122" t="s">
        <v>241</v>
      </c>
      <c r="E190" s="33" t="s">
        <v>356</v>
      </c>
      <c r="F190" s="55">
        <f t="shared" si="22"/>
        <v>0</v>
      </c>
      <c r="G190" s="56"/>
      <c r="H190" s="56"/>
      <c r="I190" s="57">
        <f t="shared" si="24"/>
        <v>0</v>
      </c>
      <c r="J190" s="58"/>
      <c r="K190" s="270"/>
      <c r="L190" s="59">
        <f t="shared" si="23"/>
        <v>0</v>
      </c>
      <c r="M190" s="60"/>
      <c r="N190" s="60"/>
      <c r="O190" s="15"/>
      <c r="P190" s="15"/>
    </row>
    <row r="191" spans="1:16" s="11" customFormat="1" ht="41.25">
      <c r="A191" s="35" t="s">
        <v>451</v>
      </c>
      <c r="B191" s="187" t="s">
        <v>484</v>
      </c>
      <c r="C191" s="33" t="s">
        <v>279</v>
      </c>
      <c r="D191" s="122" t="s">
        <v>241</v>
      </c>
      <c r="E191" s="33" t="s">
        <v>356</v>
      </c>
      <c r="F191" s="46">
        <f t="shared" si="22"/>
        <v>9776</v>
      </c>
      <c r="G191" s="51">
        <f>9776</f>
        <v>9776</v>
      </c>
      <c r="H191" s="51"/>
      <c r="I191" s="48">
        <f t="shared" si="24"/>
        <v>0</v>
      </c>
      <c r="J191" s="52"/>
      <c r="K191" s="269"/>
      <c r="L191" s="39">
        <f t="shared" si="23"/>
        <v>0</v>
      </c>
      <c r="M191" s="53"/>
      <c r="N191" s="53"/>
      <c r="O191" s="15"/>
      <c r="P191" s="15"/>
    </row>
    <row r="192" spans="1:16" s="11" customFormat="1" ht="54.75">
      <c r="A192" s="115" t="s">
        <v>547</v>
      </c>
      <c r="B192" s="181" t="s">
        <v>548</v>
      </c>
      <c r="C192" s="12" t="s">
        <v>279</v>
      </c>
      <c r="D192" s="12" t="s">
        <v>241</v>
      </c>
      <c r="E192" s="12" t="s">
        <v>356</v>
      </c>
      <c r="F192" s="116">
        <f>SUM(G192:H192)</f>
        <v>0</v>
      </c>
      <c r="G192" s="117"/>
      <c r="H192" s="117"/>
      <c r="I192" s="177">
        <f>SUM(J192:K192)</f>
        <v>0</v>
      </c>
      <c r="J192" s="178"/>
      <c r="K192" s="275"/>
      <c r="L192" s="179">
        <f>SUM(M192:N192)</f>
        <v>0</v>
      </c>
      <c r="M192" s="180"/>
      <c r="N192" s="180"/>
      <c r="O192" s="15"/>
      <c r="P192" s="15"/>
    </row>
    <row r="193" spans="1:16" s="11" customFormat="1" ht="27">
      <c r="A193" s="35" t="s">
        <v>485</v>
      </c>
      <c r="B193" s="195" t="s">
        <v>486</v>
      </c>
      <c r="C193" s="33"/>
      <c r="D193" s="30"/>
      <c r="E193" s="31"/>
      <c r="F193" s="55">
        <f t="shared" si="22"/>
        <v>1377</v>
      </c>
      <c r="G193" s="64">
        <f>SUM(G194)</f>
        <v>1377</v>
      </c>
      <c r="H193" s="64">
        <f>SUM(H194)</f>
        <v>0</v>
      </c>
      <c r="I193" s="101">
        <f t="shared" si="24"/>
        <v>1377</v>
      </c>
      <c r="J193" s="112">
        <f>SUM(J194)</f>
        <v>1377</v>
      </c>
      <c r="K193" s="112">
        <f>SUM(K194)</f>
        <v>0</v>
      </c>
      <c r="L193" s="102">
        <f t="shared" si="23"/>
        <v>1377</v>
      </c>
      <c r="M193" s="113">
        <f>SUM(M194)</f>
        <v>1377</v>
      </c>
      <c r="N193" s="113">
        <f>SUM(N194)</f>
        <v>0</v>
      </c>
      <c r="O193" s="15"/>
      <c r="P193" s="15"/>
    </row>
    <row r="194" spans="1:16" s="11" customFormat="1" ht="54.75">
      <c r="A194" s="35" t="s">
        <v>488</v>
      </c>
      <c r="B194" s="184" t="s">
        <v>487</v>
      </c>
      <c r="C194" s="33" t="s">
        <v>355</v>
      </c>
      <c r="D194" s="122">
        <v>10</v>
      </c>
      <c r="E194" s="33" t="s">
        <v>219</v>
      </c>
      <c r="F194" s="46">
        <f t="shared" si="22"/>
        <v>1377</v>
      </c>
      <c r="G194" s="51">
        <f>1377</f>
        <v>1377</v>
      </c>
      <c r="H194" s="51"/>
      <c r="I194" s="88">
        <f t="shared" si="24"/>
        <v>1377</v>
      </c>
      <c r="J194" s="104">
        <f>1377</f>
        <v>1377</v>
      </c>
      <c r="K194" s="104"/>
      <c r="L194" s="89">
        <f t="shared" si="23"/>
        <v>1377</v>
      </c>
      <c r="M194" s="105">
        <f>1377</f>
        <v>1377</v>
      </c>
      <c r="N194" s="105"/>
      <c r="O194" s="15"/>
      <c r="P194" s="15"/>
    </row>
    <row r="195" spans="1:16" s="11" customFormat="1" ht="41.25">
      <c r="A195" s="35" t="s">
        <v>489</v>
      </c>
      <c r="B195" s="199" t="s">
        <v>490</v>
      </c>
      <c r="C195" s="33"/>
      <c r="D195" s="30"/>
      <c r="E195" s="31"/>
      <c r="F195" s="55">
        <f t="shared" si="22"/>
        <v>577440</v>
      </c>
      <c r="G195" s="64">
        <f>SUM(G196,G197,G198,G199,G200,G201,G202)</f>
        <v>575786</v>
      </c>
      <c r="H195" s="64">
        <f>SUM(H196,H197,H198,H199,H200,H201,H202)</f>
        <v>1654</v>
      </c>
      <c r="I195" s="101">
        <f t="shared" si="24"/>
        <v>577550</v>
      </c>
      <c r="J195" s="112">
        <f>SUM(J196,J197,J198,J199,J200,J201,J202)</f>
        <v>575896</v>
      </c>
      <c r="K195" s="112">
        <f>SUM(K196,K197,K198,K199,K200,K201,K202)</f>
        <v>1654</v>
      </c>
      <c r="L195" s="102">
        <f t="shared" si="23"/>
        <v>575954</v>
      </c>
      <c r="M195" s="113">
        <f>SUM(M196,M197,M198,M199,M200,M201,M202)</f>
        <v>575954</v>
      </c>
      <c r="N195" s="113">
        <f>SUM(N196,N197,N198,N199,N200,N201,N202)</f>
        <v>0</v>
      </c>
      <c r="O195" s="15"/>
      <c r="P195" s="15"/>
    </row>
    <row r="196" spans="1:16" s="11" customFormat="1" ht="41.25">
      <c r="A196" s="93" t="s">
        <v>247</v>
      </c>
      <c r="B196" s="193" t="s">
        <v>491</v>
      </c>
      <c r="C196" s="33" t="s">
        <v>237</v>
      </c>
      <c r="D196" s="122" t="s">
        <v>241</v>
      </c>
      <c r="E196" s="33" t="s">
        <v>356</v>
      </c>
      <c r="F196" s="46">
        <f t="shared" si="22"/>
        <v>230</v>
      </c>
      <c r="G196" s="51">
        <f>230</f>
        <v>230</v>
      </c>
      <c r="H196" s="51"/>
      <c r="I196" s="48">
        <f t="shared" si="24"/>
        <v>240</v>
      </c>
      <c r="J196" s="52">
        <f>240</f>
        <v>240</v>
      </c>
      <c r="K196" s="269"/>
      <c r="L196" s="39">
        <f t="shared" si="23"/>
        <v>248</v>
      </c>
      <c r="M196" s="53">
        <f>248</f>
        <v>248</v>
      </c>
      <c r="N196" s="53"/>
      <c r="O196" s="15"/>
      <c r="P196" s="15"/>
    </row>
    <row r="197" spans="1:16" s="11" customFormat="1" ht="41.25">
      <c r="A197" s="93" t="s">
        <v>247</v>
      </c>
      <c r="B197" s="193" t="s">
        <v>491</v>
      </c>
      <c r="C197" s="33" t="s">
        <v>238</v>
      </c>
      <c r="D197" s="122" t="s">
        <v>241</v>
      </c>
      <c r="E197" s="33" t="s">
        <v>356</v>
      </c>
      <c r="F197" s="46">
        <f t="shared" si="22"/>
        <v>4778</v>
      </c>
      <c r="G197" s="51">
        <f>4778</f>
        <v>4778</v>
      </c>
      <c r="H197" s="51"/>
      <c r="I197" s="48">
        <f t="shared" si="24"/>
        <v>4778</v>
      </c>
      <c r="J197" s="52">
        <f>4778</f>
        <v>4778</v>
      </c>
      <c r="K197" s="269"/>
      <c r="L197" s="39">
        <f t="shared" si="23"/>
        <v>4778</v>
      </c>
      <c r="M197" s="53">
        <f>4778</f>
        <v>4778</v>
      </c>
      <c r="N197" s="53"/>
      <c r="O197" s="15"/>
      <c r="P197" s="15"/>
    </row>
    <row r="198" spans="1:16" s="11" customFormat="1" ht="41.25">
      <c r="A198" s="93" t="s">
        <v>247</v>
      </c>
      <c r="B198" s="193" t="s">
        <v>491</v>
      </c>
      <c r="C198" s="33" t="s">
        <v>274</v>
      </c>
      <c r="D198" s="122" t="s">
        <v>241</v>
      </c>
      <c r="E198" s="33" t="s">
        <v>356</v>
      </c>
      <c r="F198" s="46">
        <f t="shared" si="22"/>
        <v>569727</v>
      </c>
      <c r="G198" s="51">
        <f>569727</f>
        <v>569727</v>
      </c>
      <c r="H198" s="51"/>
      <c r="I198" s="48">
        <f t="shared" si="24"/>
        <v>569827</v>
      </c>
      <c r="J198" s="52">
        <f>569827</f>
        <v>569827</v>
      </c>
      <c r="K198" s="269"/>
      <c r="L198" s="39">
        <f t="shared" si="23"/>
        <v>569877</v>
      </c>
      <c r="M198" s="53">
        <f>569877</f>
        <v>569877</v>
      </c>
      <c r="N198" s="53"/>
      <c r="O198" s="15"/>
      <c r="P198" s="15"/>
    </row>
    <row r="199" spans="1:16" s="11" customFormat="1" ht="41.25">
      <c r="A199" s="93" t="s">
        <v>247</v>
      </c>
      <c r="B199" s="193" t="s">
        <v>491</v>
      </c>
      <c r="C199" s="33" t="s">
        <v>239</v>
      </c>
      <c r="D199" s="122" t="s">
        <v>241</v>
      </c>
      <c r="E199" s="33" t="s">
        <v>356</v>
      </c>
      <c r="F199" s="46">
        <f t="shared" si="22"/>
        <v>1051</v>
      </c>
      <c r="G199" s="51">
        <f>1051</f>
        <v>1051</v>
      </c>
      <c r="H199" s="51"/>
      <c r="I199" s="48">
        <f t="shared" si="24"/>
        <v>1051</v>
      </c>
      <c r="J199" s="52">
        <f>1051</f>
        <v>1051</v>
      </c>
      <c r="K199" s="269"/>
      <c r="L199" s="39">
        <f t="shared" si="23"/>
        <v>1051</v>
      </c>
      <c r="M199" s="53">
        <f>1051</f>
        <v>1051</v>
      </c>
      <c r="N199" s="53"/>
      <c r="O199" s="15"/>
      <c r="P199" s="15"/>
    </row>
    <row r="200" spans="1:14" s="11" customFormat="1" ht="43.5" customHeight="1">
      <c r="A200" s="232" t="s">
        <v>97</v>
      </c>
      <c r="B200" s="234" t="s">
        <v>98</v>
      </c>
      <c r="C200" s="12" t="s">
        <v>274</v>
      </c>
      <c r="D200" s="12" t="s">
        <v>241</v>
      </c>
      <c r="E200" s="12" t="s">
        <v>356</v>
      </c>
      <c r="F200" s="167">
        <f>SUM(G200:H200)</f>
        <v>0</v>
      </c>
      <c r="G200" s="168"/>
      <c r="H200" s="168"/>
      <c r="I200" s="169">
        <f aca="true" t="shared" si="25" ref="I200:I207">SUM(J200:K200)</f>
        <v>0</v>
      </c>
      <c r="J200" s="170"/>
      <c r="K200" s="170"/>
      <c r="L200" s="171">
        <f aca="true" t="shared" si="26" ref="L200:L207">SUM(M200:N200)</f>
        <v>0</v>
      </c>
      <c r="M200" s="135"/>
      <c r="N200" s="135"/>
    </row>
    <row r="201" spans="1:16" s="11" customFormat="1" ht="41.25">
      <c r="A201" s="61" t="s">
        <v>493</v>
      </c>
      <c r="B201" s="201" t="s">
        <v>492</v>
      </c>
      <c r="C201" s="62" t="s">
        <v>274</v>
      </c>
      <c r="D201" s="122" t="s">
        <v>241</v>
      </c>
      <c r="E201" s="33" t="s">
        <v>248</v>
      </c>
      <c r="F201" s="46">
        <f>SUM(G201:H201)</f>
        <v>1654</v>
      </c>
      <c r="G201" s="51"/>
      <c r="H201" s="51">
        <v>1654</v>
      </c>
      <c r="I201" s="88">
        <f t="shared" si="25"/>
        <v>1654</v>
      </c>
      <c r="J201" s="104"/>
      <c r="K201" s="104">
        <v>1654</v>
      </c>
      <c r="L201" s="89">
        <f t="shared" si="26"/>
        <v>0</v>
      </c>
      <c r="M201" s="105"/>
      <c r="N201" s="105"/>
      <c r="O201" s="15"/>
      <c r="P201" s="15"/>
    </row>
    <row r="202" spans="1:14" s="9" customFormat="1" ht="43.5" customHeight="1">
      <c r="A202" s="217" t="s">
        <v>667</v>
      </c>
      <c r="B202" s="252" t="s">
        <v>668</v>
      </c>
      <c r="C202" s="166" t="s">
        <v>238</v>
      </c>
      <c r="D202" s="166" t="s">
        <v>241</v>
      </c>
      <c r="E202" s="166" t="s">
        <v>356</v>
      </c>
      <c r="F202" s="167">
        <f>SUM(G202:H202)</f>
        <v>0</v>
      </c>
      <c r="G202" s="168"/>
      <c r="H202" s="168"/>
      <c r="I202" s="169">
        <f t="shared" si="25"/>
        <v>0</v>
      </c>
      <c r="J202" s="170"/>
      <c r="K202" s="170"/>
      <c r="L202" s="171">
        <f t="shared" si="26"/>
        <v>0</v>
      </c>
      <c r="M202" s="135"/>
      <c r="N202" s="135"/>
    </row>
    <row r="203" spans="1:16" s="11" customFormat="1" ht="41.25">
      <c r="A203" s="63" t="s">
        <v>494</v>
      </c>
      <c r="B203" s="199" t="s">
        <v>495</v>
      </c>
      <c r="C203" s="33"/>
      <c r="D203" s="30"/>
      <c r="E203" s="31"/>
      <c r="F203" s="55">
        <f t="shared" si="22"/>
        <v>3750</v>
      </c>
      <c r="G203" s="64">
        <f>SUM(G204,G205,G206,G207,G208)</f>
        <v>3750</v>
      </c>
      <c r="H203" s="64">
        <f>SUM(H204,H205,H206,H207,H208)</f>
        <v>0</v>
      </c>
      <c r="I203" s="101">
        <f t="shared" si="25"/>
        <v>3750</v>
      </c>
      <c r="J203" s="112">
        <f>SUM(J204,J205,J206,J207,J208)</f>
        <v>3750</v>
      </c>
      <c r="K203" s="112">
        <f>SUM(K204,K205,K206,K207,K208)</f>
        <v>0</v>
      </c>
      <c r="L203" s="102">
        <f t="shared" si="26"/>
        <v>3750</v>
      </c>
      <c r="M203" s="113">
        <f>SUM(M204,M205,M206,M207,M208)</f>
        <v>3750</v>
      </c>
      <c r="N203" s="113">
        <f>SUM(N204,N205,N206,N207,N208)</f>
        <v>0</v>
      </c>
      <c r="O203" s="15"/>
      <c r="P203" s="15"/>
    </row>
    <row r="204" spans="1:16" s="11" customFormat="1" ht="41.25">
      <c r="A204" s="93" t="s">
        <v>497</v>
      </c>
      <c r="B204" s="193" t="s">
        <v>496</v>
      </c>
      <c r="C204" s="33" t="s">
        <v>355</v>
      </c>
      <c r="D204" s="122" t="s">
        <v>241</v>
      </c>
      <c r="E204" s="33" t="s">
        <v>248</v>
      </c>
      <c r="F204" s="46">
        <f t="shared" si="22"/>
        <v>1200</v>
      </c>
      <c r="G204" s="51">
        <f>1200</f>
        <v>1200</v>
      </c>
      <c r="H204" s="51"/>
      <c r="I204" s="88">
        <f t="shared" si="25"/>
        <v>1200</v>
      </c>
      <c r="J204" s="52">
        <f>1200</f>
        <v>1200</v>
      </c>
      <c r="K204" s="269"/>
      <c r="L204" s="89">
        <f t="shared" si="26"/>
        <v>1200</v>
      </c>
      <c r="M204" s="53">
        <f>1200</f>
        <v>1200</v>
      </c>
      <c r="N204" s="53"/>
      <c r="O204" s="15"/>
      <c r="P204" s="15"/>
    </row>
    <row r="205" spans="1:16" s="11" customFormat="1" ht="41.25">
      <c r="A205" s="93" t="s">
        <v>497</v>
      </c>
      <c r="B205" s="193" t="s">
        <v>496</v>
      </c>
      <c r="C205" s="33" t="s">
        <v>274</v>
      </c>
      <c r="D205" s="33" t="s">
        <v>241</v>
      </c>
      <c r="E205" s="33" t="s">
        <v>356</v>
      </c>
      <c r="F205" s="46">
        <f t="shared" si="22"/>
        <v>1810</v>
      </c>
      <c r="G205" s="46">
        <f>1810</f>
        <v>1810</v>
      </c>
      <c r="H205" s="46"/>
      <c r="I205" s="88">
        <f t="shared" si="25"/>
        <v>1810</v>
      </c>
      <c r="J205" s="48">
        <f>1810</f>
        <v>1810</v>
      </c>
      <c r="K205" s="273"/>
      <c r="L205" s="89">
        <f t="shared" si="26"/>
        <v>1810</v>
      </c>
      <c r="M205" s="39">
        <f>1810</f>
        <v>1810</v>
      </c>
      <c r="N205" s="39"/>
      <c r="O205" s="15"/>
      <c r="P205" s="15"/>
    </row>
    <row r="206" spans="1:16" s="11" customFormat="1" ht="41.25">
      <c r="A206" s="93" t="s">
        <v>497</v>
      </c>
      <c r="B206" s="193" t="s">
        <v>496</v>
      </c>
      <c r="C206" s="33" t="s">
        <v>274</v>
      </c>
      <c r="D206" s="33" t="s">
        <v>241</v>
      </c>
      <c r="E206" s="33" t="s">
        <v>219</v>
      </c>
      <c r="F206" s="46">
        <f>SUM(G206:H206)</f>
        <v>0</v>
      </c>
      <c r="G206" s="46"/>
      <c r="H206" s="46"/>
      <c r="I206" s="88">
        <f t="shared" si="25"/>
        <v>0</v>
      </c>
      <c r="J206" s="48"/>
      <c r="K206" s="273"/>
      <c r="L206" s="89">
        <f t="shared" si="26"/>
        <v>0</v>
      </c>
      <c r="M206" s="39"/>
      <c r="N206" s="39"/>
      <c r="O206" s="15"/>
      <c r="P206" s="15"/>
    </row>
    <row r="207" spans="1:16" s="11" customFormat="1" ht="41.25">
      <c r="A207" s="93" t="s">
        <v>497</v>
      </c>
      <c r="B207" s="193" t="s">
        <v>496</v>
      </c>
      <c r="C207" s="33" t="s">
        <v>274</v>
      </c>
      <c r="D207" s="33" t="s">
        <v>241</v>
      </c>
      <c r="E207" s="33" t="s">
        <v>241</v>
      </c>
      <c r="F207" s="46">
        <f>SUM(G207:H207)</f>
        <v>200</v>
      </c>
      <c r="G207" s="51">
        <f>200</f>
        <v>200</v>
      </c>
      <c r="H207" s="51"/>
      <c r="I207" s="88">
        <f t="shared" si="25"/>
        <v>200</v>
      </c>
      <c r="J207" s="52">
        <f>200</f>
        <v>200</v>
      </c>
      <c r="K207" s="269"/>
      <c r="L207" s="89">
        <f t="shared" si="26"/>
        <v>200</v>
      </c>
      <c r="M207" s="53">
        <f>200</f>
        <v>200</v>
      </c>
      <c r="N207" s="53"/>
      <c r="O207" s="15"/>
      <c r="P207" s="15"/>
    </row>
    <row r="208" spans="1:14" s="28" customFormat="1" ht="41.25">
      <c r="A208" s="93" t="s">
        <v>497</v>
      </c>
      <c r="B208" s="193" t="s">
        <v>496</v>
      </c>
      <c r="C208" s="33" t="s">
        <v>274</v>
      </c>
      <c r="D208" s="33" t="s">
        <v>241</v>
      </c>
      <c r="E208" s="33" t="s">
        <v>248</v>
      </c>
      <c r="F208" s="46">
        <f>SUM(G208:H208)</f>
        <v>540</v>
      </c>
      <c r="G208" s="51">
        <f>540</f>
        <v>540</v>
      </c>
      <c r="H208" s="51"/>
      <c r="I208" s="88">
        <v>500</v>
      </c>
      <c r="J208" s="52">
        <f>540</f>
        <v>540</v>
      </c>
      <c r="K208" s="269"/>
      <c r="L208" s="89">
        <v>500</v>
      </c>
      <c r="M208" s="53">
        <f>540</f>
        <v>540</v>
      </c>
      <c r="N208" s="53"/>
    </row>
    <row r="209" spans="1:16" s="11" customFormat="1" ht="27">
      <c r="A209" s="35" t="s">
        <v>498</v>
      </c>
      <c r="B209" s="199" t="s">
        <v>499</v>
      </c>
      <c r="C209" s="33"/>
      <c r="D209" s="30"/>
      <c r="E209" s="31"/>
      <c r="F209" s="55">
        <f aca="true" t="shared" si="27" ref="F209:F266">SUM(G209:H209)</f>
        <v>51319</v>
      </c>
      <c r="G209" s="69">
        <f>SUM(G210,G211)</f>
        <v>0</v>
      </c>
      <c r="H209" s="69">
        <f>SUM(H210,H211)</f>
        <v>51319</v>
      </c>
      <c r="I209" s="101">
        <f>SUM(J209:K209)</f>
        <v>55235</v>
      </c>
      <c r="J209" s="109">
        <f>SUM(J210,J211)</f>
        <v>0</v>
      </c>
      <c r="K209" s="109">
        <f>SUM(K210,K211)</f>
        <v>55235</v>
      </c>
      <c r="L209" s="102">
        <f>SUM(M209:N209)</f>
        <v>57390</v>
      </c>
      <c r="M209" s="110">
        <f>SUM(M210,M211)</f>
        <v>0</v>
      </c>
      <c r="N209" s="110">
        <f>SUM(N210,N211)</f>
        <v>57390</v>
      </c>
      <c r="O209" s="15"/>
      <c r="P209" s="15"/>
    </row>
    <row r="210" spans="1:16" s="11" customFormat="1" ht="27">
      <c r="A210" s="93" t="s">
        <v>501</v>
      </c>
      <c r="B210" s="193" t="s">
        <v>500</v>
      </c>
      <c r="C210" s="33" t="s">
        <v>355</v>
      </c>
      <c r="D210" s="122" t="s">
        <v>399</v>
      </c>
      <c r="E210" s="33" t="s">
        <v>219</v>
      </c>
      <c r="F210" s="46">
        <f t="shared" si="27"/>
        <v>4862</v>
      </c>
      <c r="G210" s="46"/>
      <c r="H210" s="46">
        <f>6605-1743</f>
        <v>4862</v>
      </c>
      <c r="I210" s="48">
        <f t="shared" si="24"/>
        <v>4908</v>
      </c>
      <c r="J210" s="48"/>
      <c r="K210" s="273">
        <f>7105-2197</f>
        <v>4908</v>
      </c>
      <c r="L210" s="39">
        <f t="shared" si="23"/>
        <v>5915</v>
      </c>
      <c r="M210" s="39"/>
      <c r="N210" s="39">
        <f>5915</f>
        <v>5915</v>
      </c>
      <c r="O210" s="15"/>
      <c r="P210" s="15"/>
    </row>
    <row r="211" spans="1:16" s="11" customFormat="1" ht="27">
      <c r="A211" s="93" t="s">
        <v>501</v>
      </c>
      <c r="B211" s="193" t="s">
        <v>500</v>
      </c>
      <c r="C211" s="33" t="s">
        <v>274</v>
      </c>
      <c r="D211" s="122" t="s">
        <v>399</v>
      </c>
      <c r="E211" s="33" t="s">
        <v>219</v>
      </c>
      <c r="F211" s="46">
        <f t="shared" si="27"/>
        <v>46457</v>
      </c>
      <c r="G211" s="46"/>
      <c r="H211" s="46">
        <f>44850+1607</f>
        <v>46457</v>
      </c>
      <c r="I211" s="48">
        <f t="shared" si="24"/>
        <v>50327</v>
      </c>
      <c r="J211" s="48"/>
      <c r="K211" s="273">
        <f>48266+2061</f>
        <v>50327</v>
      </c>
      <c r="L211" s="39">
        <f t="shared" si="23"/>
        <v>51475</v>
      </c>
      <c r="M211" s="39"/>
      <c r="N211" s="39">
        <f>51475</f>
        <v>51475</v>
      </c>
      <c r="O211" s="15"/>
      <c r="P211" s="15"/>
    </row>
    <row r="212" spans="1:16" s="11" customFormat="1" ht="27">
      <c r="A212" s="41" t="s">
        <v>502</v>
      </c>
      <c r="B212" s="198" t="s">
        <v>503</v>
      </c>
      <c r="C212" s="42"/>
      <c r="D212" s="34"/>
      <c r="E212" s="42"/>
      <c r="F212" s="43">
        <f t="shared" si="27"/>
        <v>381330</v>
      </c>
      <c r="G212" s="74">
        <f>SUM(G213,G217,G219)</f>
        <v>381330</v>
      </c>
      <c r="H212" s="74">
        <f>SUM(H213,H217,H219)</f>
        <v>0</v>
      </c>
      <c r="I212" s="80">
        <f t="shared" si="24"/>
        <v>391330</v>
      </c>
      <c r="J212" s="75">
        <f>SUM(J213,J217,J219)</f>
        <v>391330</v>
      </c>
      <c r="K212" s="75">
        <f>SUM(K213,K217,K219)</f>
        <v>0</v>
      </c>
      <c r="L212" s="81">
        <f t="shared" si="23"/>
        <v>393330</v>
      </c>
      <c r="M212" s="76">
        <f>SUM(M213,M217,M219)</f>
        <v>393330</v>
      </c>
      <c r="N212" s="76">
        <f>SUM(N213,N217,N219)</f>
        <v>0</v>
      </c>
      <c r="O212" s="15"/>
      <c r="P212" s="15"/>
    </row>
    <row r="213" spans="1:14" s="11" customFormat="1" ht="76.5" customHeight="1">
      <c r="A213" s="35" t="s">
        <v>504</v>
      </c>
      <c r="B213" s="199" t="s">
        <v>505</v>
      </c>
      <c r="C213" s="33"/>
      <c r="D213" s="30"/>
      <c r="E213" s="31"/>
      <c r="F213" s="55">
        <f t="shared" si="27"/>
        <v>378306</v>
      </c>
      <c r="G213" s="69">
        <f>SUM(G214,G215,G216)</f>
        <v>378306</v>
      </c>
      <c r="H213" s="69">
        <f>SUM(H214,H215,H216)</f>
        <v>0</v>
      </c>
      <c r="I213" s="101">
        <f t="shared" si="24"/>
        <v>388306</v>
      </c>
      <c r="J213" s="109">
        <f>SUM(J214,J215,J216)</f>
        <v>388306</v>
      </c>
      <c r="K213" s="109">
        <f>SUM(K214,K215,K216)</f>
        <v>0</v>
      </c>
      <c r="L213" s="102">
        <f t="shared" si="23"/>
        <v>390306</v>
      </c>
      <c r="M213" s="110">
        <f>SUM(M214,M215,M216)</f>
        <v>390306</v>
      </c>
      <c r="N213" s="110">
        <f>SUM(N214,N215,N216)</f>
        <v>0</v>
      </c>
    </row>
    <row r="214" spans="1:16" s="11" customFormat="1" ht="41.25">
      <c r="A214" s="93" t="s">
        <v>466</v>
      </c>
      <c r="B214" s="193" t="s">
        <v>506</v>
      </c>
      <c r="C214" s="33" t="s">
        <v>274</v>
      </c>
      <c r="D214" s="122" t="s">
        <v>241</v>
      </c>
      <c r="E214" s="33" t="s">
        <v>219</v>
      </c>
      <c r="F214" s="46">
        <f t="shared" si="27"/>
        <v>378306</v>
      </c>
      <c r="G214" s="51">
        <f>378306</f>
        <v>378306</v>
      </c>
      <c r="H214" s="51"/>
      <c r="I214" s="48">
        <f t="shared" si="24"/>
        <v>388306</v>
      </c>
      <c r="J214" s="52">
        <f>388306</f>
        <v>388306</v>
      </c>
      <c r="K214" s="269"/>
      <c r="L214" s="39">
        <f t="shared" si="23"/>
        <v>390306</v>
      </c>
      <c r="M214" s="53">
        <f>390306</f>
        <v>390306</v>
      </c>
      <c r="N214" s="53"/>
      <c r="O214" s="15"/>
      <c r="P214" s="15"/>
    </row>
    <row r="215" spans="1:14" s="11" customFormat="1" ht="82.5">
      <c r="A215" s="115" t="s">
        <v>96</v>
      </c>
      <c r="B215" s="181" t="s">
        <v>669</v>
      </c>
      <c r="C215" s="12" t="s">
        <v>274</v>
      </c>
      <c r="D215" s="12" t="s">
        <v>399</v>
      </c>
      <c r="E215" s="12" t="s">
        <v>71</v>
      </c>
      <c r="F215" s="116">
        <f t="shared" si="27"/>
        <v>0</v>
      </c>
      <c r="G215" s="117"/>
      <c r="H215" s="117"/>
      <c r="I215" s="118">
        <f t="shared" si="24"/>
        <v>0</v>
      </c>
      <c r="J215" s="119"/>
      <c r="K215" s="119"/>
      <c r="L215" s="120">
        <f t="shared" si="23"/>
        <v>0</v>
      </c>
      <c r="M215" s="121"/>
      <c r="N215" s="121"/>
    </row>
    <row r="216" spans="1:16" s="11" customFormat="1" ht="69">
      <c r="A216" s="115" t="s">
        <v>470</v>
      </c>
      <c r="B216" s="231" t="s">
        <v>646</v>
      </c>
      <c r="C216" s="12" t="s">
        <v>274</v>
      </c>
      <c r="D216" s="12" t="s">
        <v>399</v>
      </c>
      <c r="E216" s="12" t="s">
        <v>71</v>
      </c>
      <c r="F216" s="116">
        <f t="shared" si="27"/>
        <v>0</v>
      </c>
      <c r="G216" s="117"/>
      <c r="H216" s="117"/>
      <c r="I216" s="118">
        <f t="shared" si="24"/>
        <v>0</v>
      </c>
      <c r="J216" s="119"/>
      <c r="K216" s="119"/>
      <c r="L216" s="120">
        <f t="shared" si="23"/>
        <v>0</v>
      </c>
      <c r="M216" s="121"/>
      <c r="N216" s="121"/>
      <c r="O216" s="15"/>
      <c r="P216" s="15"/>
    </row>
    <row r="217" spans="1:16" s="11" customFormat="1" ht="27">
      <c r="A217" s="93" t="s">
        <v>507</v>
      </c>
      <c r="B217" s="199" t="s">
        <v>509</v>
      </c>
      <c r="C217" s="33"/>
      <c r="D217" s="30"/>
      <c r="E217" s="31"/>
      <c r="F217" s="55">
        <f t="shared" si="27"/>
        <v>3024</v>
      </c>
      <c r="G217" s="64">
        <f>SUM(G218)</f>
        <v>3024</v>
      </c>
      <c r="H217" s="64">
        <f>SUM(H218)</f>
        <v>0</v>
      </c>
      <c r="I217" s="101">
        <f t="shared" si="24"/>
        <v>3024</v>
      </c>
      <c r="J217" s="112">
        <f>SUM(J218)</f>
        <v>3024</v>
      </c>
      <c r="K217" s="112">
        <f>SUM(K218)</f>
        <v>0</v>
      </c>
      <c r="L217" s="102">
        <f t="shared" si="23"/>
        <v>3024</v>
      </c>
      <c r="M217" s="113">
        <f>SUM(M218)</f>
        <v>3024</v>
      </c>
      <c r="N217" s="113">
        <f>SUM(N218)</f>
        <v>0</v>
      </c>
      <c r="O217" s="15"/>
      <c r="P217" s="15"/>
    </row>
    <row r="218" spans="1:14" s="28" customFormat="1" ht="27">
      <c r="A218" s="146" t="s">
        <v>250</v>
      </c>
      <c r="B218" s="193" t="s">
        <v>510</v>
      </c>
      <c r="C218" s="33" t="s">
        <v>274</v>
      </c>
      <c r="D218" s="122" t="s">
        <v>508</v>
      </c>
      <c r="E218" s="33" t="s">
        <v>218</v>
      </c>
      <c r="F218" s="46">
        <f>SUM(G218:H218)</f>
        <v>3024</v>
      </c>
      <c r="G218" s="46">
        <f>3024</f>
        <v>3024</v>
      </c>
      <c r="H218" s="46"/>
      <c r="I218" s="48">
        <f>SUM(J218:K218)</f>
        <v>3024</v>
      </c>
      <c r="J218" s="48">
        <f>3024</f>
        <v>3024</v>
      </c>
      <c r="K218" s="273"/>
      <c r="L218" s="39">
        <f>SUM(M218:N218)</f>
        <v>3024</v>
      </c>
      <c r="M218" s="39">
        <f>3024</f>
        <v>3024</v>
      </c>
      <c r="N218" s="39"/>
    </row>
    <row r="219" spans="1:16" s="11" customFormat="1" ht="41.25">
      <c r="A219" s="63" t="s">
        <v>511</v>
      </c>
      <c r="B219" s="199" t="s">
        <v>512</v>
      </c>
      <c r="C219" s="33"/>
      <c r="D219" s="30"/>
      <c r="E219" s="31"/>
      <c r="F219" s="55">
        <f t="shared" si="27"/>
        <v>0</v>
      </c>
      <c r="G219" s="69">
        <f>SUM(G220,G221,G222)</f>
        <v>0</v>
      </c>
      <c r="H219" s="69">
        <f>SUM(H220,H221,H222)</f>
        <v>0</v>
      </c>
      <c r="I219" s="101">
        <f>SUM(J219:K219)</f>
        <v>0</v>
      </c>
      <c r="J219" s="109">
        <f>SUM(J220,J221,J222)</f>
        <v>0</v>
      </c>
      <c r="K219" s="109">
        <f>SUM(K220,K221,K222)</f>
        <v>0</v>
      </c>
      <c r="L219" s="102">
        <f>SUM(M219:N219)</f>
        <v>0</v>
      </c>
      <c r="M219" s="110">
        <f>SUM(M220,M221,M222)</f>
        <v>0</v>
      </c>
      <c r="N219" s="110">
        <f>SUM(N220,N221,N222)</f>
        <v>0</v>
      </c>
      <c r="O219" s="15"/>
      <c r="P219" s="15"/>
    </row>
    <row r="220" spans="1:14" s="11" customFormat="1" ht="75.75" customHeight="1">
      <c r="A220" s="35" t="s">
        <v>452</v>
      </c>
      <c r="B220" s="199" t="s">
        <v>513</v>
      </c>
      <c r="C220" s="33" t="s">
        <v>238</v>
      </c>
      <c r="D220" s="122" t="s">
        <v>241</v>
      </c>
      <c r="E220" s="33" t="s">
        <v>219</v>
      </c>
      <c r="F220" s="55">
        <f t="shared" si="27"/>
        <v>0</v>
      </c>
      <c r="G220" s="56"/>
      <c r="H220" s="56"/>
      <c r="I220" s="101">
        <f t="shared" si="24"/>
        <v>0</v>
      </c>
      <c r="J220" s="98"/>
      <c r="K220" s="98"/>
      <c r="L220" s="102">
        <f t="shared" si="23"/>
        <v>0</v>
      </c>
      <c r="M220" s="99"/>
      <c r="N220" s="99"/>
    </row>
    <row r="221" spans="1:16" s="11" customFormat="1" ht="41.25">
      <c r="A221" s="35" t="s">
        <v>451</v>
      </c>
      <c r="B221" s="199" t="s">
        <v>514</v>
      </c>
      <c r="C221" s="33" t="s">
        <v>279</v>
      </c>
      <c r="D221" s="122" t="s">
        <v>241</v>
      </c>
      <c r="E221" s="33" t="s">
        <v>219</v>
      </c>
      <c r="F221" s="55">
        <f t="shared" si="27"/>
        <v>0</v>
      </c>
      <c r="G221" s="56"/>
      <c r="H221" s="56"/>
      <c r="I221" s="101">
        <f t="shared" si="24"/>
        <v>0</v>
      </c>
      <c r="J221" s="98"/>
      <c r="K221" s="276"/>
      <c r="L221" s="102">
        <f t="shared" si="23"/>
        <v>0</v>
      </c>
      <c r="M221" s="99"/>
      <c r="N221" s="40"/>
      <c r="O221" s="15"/>
      <c r="P221" s="15"/>
    </row>
    <row r="222" spans="1:16" s="11" customFormat="1" ht="54.75">
      <c r="A222" s="115" t="s">
        <v>647</v>
      </c>
      <c r="B222" s="237" t="s">
        <v>648</v>
      </c>
      <c r="C222" s="12" t="s">
        <v>274</v>
      </c>
      <c r="D222" s="12" t="s">
        <v>241</v>
      </c>
      <c r="E222" s="12" t="s">
        <v>219</v>
      </c>
      <c r="F222" s="116">
        <f t="shared" si="27"/>
        <v>0</v>
      </c>
      <c r="G222" s="117"/>
      <c r="H222" s="117">
        <v>0</v>
      </c>
      <c r="I222" s="118">
        <f t="shared" si="24"/>
        <v>0</v>
      </c>
      <c r="J222" s="119"/>
      <c r="K222" s="119">
        <v>0</v>
      </c>
      <c r="L222" s="120">
        <f t="shared" si="23"/>
        <v>0</v>
      </c>
      <c r="M222" s="121"/>
      <c r="N222" s="121"/>
      <c r="O222" s="15"/>
      <c r="P222" s="15"/>
    </row>
    <row r="223" spans="1:16" s="11" customFormat="1" ht="33" customHeight="1">
      <c r="A223" s="106" t="s">
        <v>515</v>
      </c>
      <c r="B223" s="198" t="s">
        <v>516</v>
      </c>
      <c r="C223" s="42"/>
      <c r="D223" s="34"/>
      <c r="E223" s="42"/>
      <c r="F223" s="43">
        <f t="shared" si="27"/>
        <v>77250</v>
      </c>
      <c r="G223" s="74">
        <f>SUM(G224,G226,G231)</f>
        <v>72422</v>
      </c>
      <c r="H223" s="74">
        <f>SUM(H224,H226,H231)</f>
        <v>4828</v>
      </c>
      <c r="I223" s="80">
        <f t="shared" si="24"/>
        <v>77650</v>
      </c>
      <c r="J223" s="75">
        <f>SUM(J224,J226,J231)</f>
        <v>72822</v>
      </c>
      <c r="K223" s="75">
        <f>SUM(K224,K226,K231)</f>
        <v>4828</v>
      </c>
      <c r="L223" s="81">
        <f t="shared" si="23"/>
        <v>77750</v>
      </c>
      <c r="M223" s="76">
        <f>SUM(M224,M226,M231)</f>
        <v>72922</v>
      </c>
      <c r="N223" s="76">
        <f>SUM(N224,N226,N231)</f>
        <v>4828</v>
      </c>
      <c r="O223" s="15"/>
      <c r="P223" s="15"/>
    </row>
    <row r="224" spans="1:16" s="11" customFormat="1" ht="41.25">
      <c r="A224" s="54" t="s">
        <v>504</v>
      </c>
      <c r="B224" s="199" t="s">
        <v>517</v>
      </c>
      <c r="C224" s="33"/>
      <c r="D224" s="30"/>
      <c r="E224" s="31"/>
      <c r="F224" s="55">
        <f t="shared" si="27"/>
        <v>49522</v>
      </c>
      <c r="G224" s="36">
        <f>SUM(G225)</f>
        <v>49522</v>
      </c>
      <c r="H224" s="36">
        <f>SUM(H225)</f>
        <v>0</v>
      </c>
      <c r="I224" s="101">
        <f t="shared" si="24"/>
        <v>49922</v>
      </c>
      <c r="J224" s="77">
        <f>SUM(J225)</f>
        <v>49922</v>
      </c>
      <c r="K224" s="77">
        <f>SUM(K225)</f>
        <v>0</v>
      </c>
      <c r="L224" s="102">
        <f t="shared" si="23"/>
        <v>50022</v>
      </c>
      <c r="M224" s="78">
        <f>SUM(M225)</f>
        <v>50022</v>
      </c>
      <c r="N224" s="78">
        <f>SUM(N225)</f>
        <v>0</v>
      </c>
      <c r="O224" s="15"/>
      <c r="P224" s="15"/>
    </row>
    <row r="225" spans="1:16" s="11" customFormat="1" ht="41.25">
      <c r="A225" s="93" t="s">
        <v>466</v>
      </c>
      <c r="B225" s="193" t="s">
        <v>518</v>
      </c>
      <c r="C225" s="33" t="s">
        <v>274</v>
      </c>
      <c r="D225" s="122" t="s">
        <v>241</v>
      </c>
      <c r="E225" s="33" t="s">
        <v>241</v>
      </c>
      <c r="F225" s="46">
        <f t="shared" si="27"/>
        <v>49522</v>
      </c>
      <c r="G225" s="46">
        <f>49522</f>
        <v>49522</v>
      </c>
      <c r="H225" s="46"/>
      <c r="I225" s="48">
        <f t="shared" si="24"/>
        <v>49922</v>
      </c>
      <c r="J225" s="48">
        <f>49922</f>
        <v>49922</v>
      </c>
      <c r="K225" s="273"/>
      <c r="L225" s="39">
        <f t="shared" si="23"/>
        <v>50022</v>
      </c>
      <c r="M225" s="39">
        <f>50022</f>
        <v>50022</v>
      </c>
      <c r="N225" s="39"/>
      <c r="O225" s="15"/>
      <c r="P225" s="15"/>
    </row>
    <row r="226" spans="1:16" s="11" customFormat="1" ht="41.25">
      <c r="A226" s="63" t="s">
        <v>519</v>
      </c>
      <c r="B226" s="199" t="s">
        <v>520</v>
      </c>
      <c r="C226" s="33"/>
      <c r="D226" s="30"/>
      <c r="E226" s="31"/>
      <c r="F226" s="55">
        <f t="shared" si="27"/>
        <v>26728</v>
      </c>
      <c r="G226" s="36">
        <f>SUM(G227,G228,G229,G230)</f>
        <v>21900</v>
      </c>
      <c r="H226" s="36">
        <f>SUM(H227,H228,H229,H230)</f>
        <v>4828</v>
      </c>
      <c r="I226" s="101">
        <f t="shared" si="24"/>
        <v>26728</v>
      </c>
      <c r="J226" s="77">
        <f>SUM(J227,J228,J229,J230)</f>
        <v>21900</v>
      </c>
      <c r="K226" s="77">
        <f>SUM(K227,K228,K229,K230)</f>
        <v>4828</v>
      </c>
      <c r="L226" s="102">
        <f t="shared" si="23"/>
        <v>26728</v>
      </c>
      <c r="M226" s="78">
        <f>SUM(M227,M228,M229,M230)</f>
        <v>21900</v>
      </c>
      <c r="N226" s="78">
        <f>SUM(N227,N228,N229,N230)</f>
        <v>4828</v>
      </c>
      <c r="O226" s="15"/>
      <c r="P226" s="15"/>
    </row>
    <row r="227" spans="1:16" s="11" customFormat="1" ht="27">
      <c r="A227" s="93" t="s">
        <v>522</v>
      </c>
      <c r="B227" s="193" t="s">
        <v>521</v>
      </c>
      <c r="C227" s="33" t="s">
        <v>238</v>
      </c>
      <c r="D227" s="122" t="s">
        <v>241</v>
      </c>
      <c r="E227" s="33" t="s">
        <v>241</v>
      </c>
      <c r="F227" s="55">
        <f t="shared" si="27"/>
        <v>21900</v>
      </c>
      <c r="G227" s="36">
        <f>21900</f>
        <v>21900</v>
      </c>
      <c r="H227" s="36"/>
      <c r="I227" s="101">
        <f t="shared" si="24"/>
        <v>21900</v>
      </c>
      <c r="J227" s="77">
        <f>21900</f>
        <v>21900</v>
      </c>
      <c r="K227" s="77"/>
      <c r="L227" s="102">
        <f t="shared" si="23"/>
        <v>21900</v>
      </c>
      <c r="M227" s="78">
        <f>21900</f>
        <v>21900</v>
      </c>
      <c r="N227" s="78"/>
      <c r="O227" s="15"/>
      <c r="P227" s="15"/>
    </row>
    <row r="228" spans="1:16" s="11" customFormat="1" ht="27">
      <c r="A228" s="93" t="s">
        <v>522</v>
      </c>
      <c r="B228" s="193" t="s">
        <v>521</v>
      </c>
      <c r="C228" s="33" t="s">
        <v>274</v>
      </c>
      <c r="D228" s="122" t="s">
        <v>241</v>
      </c>
      <c r="E228" s="33" t="s">
        <v>241</v>
      </c>
      <c r="F228" s="46">
        <f t="shared" si="27"/>
        <v>0</v>
      </c>
      <c r="G228" s="51"/>
      <c r="H228" s="51"/>
      <c r="I228" s="48">
        <f t="shared" si="24"/>
        <v>0</v>
      </c>
      <c r="J228" s="52"/>
      <c r="K228" s="277"/>
      <c r="L228" s="39">
        <f t="shared" si="23"/>
        <v>0</v>
      </c>
      <c r="M228" s="53"/>
      <c r="N228" s="71"/>
      <c r="O228" s="15"/>
      <c r="P228" s="15"/>
    </row>
    <row r="229" spans="1:256" s="28" customFormat="1" ht="41.25">
      <c r="A229" s="63" t="s">
        <v>442</v>
      </c>
      <c r="B229" s="193" t="s">
        <v>523</v>
      </c>
      <c r="C229" s="33" t="s">
        <v>238</v>
      </c>
      <c r="D229" s="122" t="s">
        <v>241</v>
      </c>
      <c r="E229" s="33" t="s">
        <v>241</v>
      </c>
      <c r="F229" s="46">
        <f t="shared" si="27"/>
        <v>0</v>
      </c>
      <c r="G229" s="51"/>
      <c r="H229" s="51"/>
      <c r="I229" s="48">
        <f t="shared" si="24"/>
        <v>0</v>
      </c>
      <c r="J229" s="52"/>
      <c r="K229" s="277"/>
      <c r="L229" s="39">
        <f t="shared" si="23"/>
        <v>0</v>
      </c>
      <c r="M229" s="53"/>
      <c r="N229" s="71"/>
      <c r="IV229" s="123">
        <f>SUM(F229:IU229)</f>
        <v>0</v>
      </c>
    </row>
    <row r="230" spans="1:16" s="11" customFormat="1" ht="41.25">
      <c r="A230" s="63" t="s">
        <v>442</v>
      </c>
      <c r="B230" s="193" t="s">
        <v>523</v>
      </c>
      <c r="C230" s="33" t="s">
        <v>274</v>
      </c>
      <c r="D230" s="122" t="s">
        <v>241</v>
      </c>
      <c r="E230" s="33" t="s">
        <v>241</v>
      </c>
      <c r="F230" s="46">
        <f t="shared" si="27"/>
        <v>4828</v>
      </c>
      <c r="G230" s="46"/>
      <c r="H230" s="46">
        <v>4828</v>
      </c>
      <c r="I230" s="48">
        <f t="shared" si="24"/>
        <v>4828</v>
      </c>
      <c r="J230" s="48"/>
      <c r="K230" s="273">
        <v>4828</v>
      </c>
      <c r="L230" s="39">
        <f t="shared" si="23"/>
        <v>4828</v>
      </c>
      <c r="M230" s="39"/>
      <c r="N230" s="39">
        <f>4828</f>
        <v>4828</v>
      </c>
      <c r="O230" s="15"/>
      <c r="P230" s="15"/>
    </row>
    <row r="231" spans="1:16" s="11" customFormat="1" ht="30" customHeight="1">
      <c r="A231" s="63" t="s">
        <v>524</v>
      </c>
      <c r="B231" s="199" t="s">
        <v>525</v>
      </c>
      <c r="C231" s="33"/>
      <c r="D231" s="30"/>
      <c r="E231" s="31"/>
      <c r="F231" s="55">
        <f t="shared" si="27"/>
        <v>1000</v>
      </c>
      <c r="G231" s="68">
        <f>SUM(G232)</f>
        <v>1000</v>
      </c>
      <c r="H231" s="68">
        <f>SUM(H232)</f>
        <v>0</v>
      </c>
      <c r="I231" s="101">
        <f t="shared" si="24"/>
        <v>1000</v>
      </c>
      <c r="J231" s="83">
        <f>SUM(J232)</f>
        <v>1000</v>
      </c>
      <c r="K231" s="83">
        <f>SUM(K232)</f>
        <v>0</v>
      </c>
      <c r="L231" s="102">
        <f t="shared" si="23"/>
        <v>1000</v>
      </c>
      <c r="M231" s="84">
        <f>SUM(M232)</f>
        <v>1000</v>
      </c>
      <c r="N231" s="84">
        <f>SUM(N232)</f>
        <v>0</v>
      </c>
      <c r="O231" s="15"/>
      <c r="P231" s="15"/>
    </row>
    <row r="232" spans="1:16" s="11" customFormat="1" ht="41.25">
      <c r="A232" s="63" t="s">
        <v>442</v>
      </c>
      <c r="B232" s="193" t="s">
        <v>526</v>
      </c>
      <c r="C232" s="33" t="s">
        <v>274</v>
      </c>
      <c r="D232" s="122" t="s">
        <v>241</v>
      </c>
      <c r="E232" s="33" t="s">
        <v>241</v>
      </c>
      <c r="F232" s="46">
        <f t="shared" si="27"/>
        <v>1000</v>
      </c>
      <c r="G232" s="46">
        <f>1000</f>
        <v>1000</v>
      </c>
      <c r="H232" s="46"/>
      <c r="I232" s="48">
        <f t="shared" si="24"/>
        <v>1000</v>
      </c>
      <c r="J232" s="48">
        <f>1000</f>
        <v>1000</v>
      </c>
      <c r="K232" s="273"/>
      <c r="L232" s="39">
        <f t="shared" si="23"/>
        <v>1000</v>
      </c>
      <c r="M232" s="39">
        <f>1000</f>
        <v>1000</v>
      </c>
      <c r="N232" s="39"/>
      <c r="O232" s="15"/>
      <c r="P232" s="15"/>
    </row>
    <row r="233" spans="1:16" s="11" customFormat="1" ht="27">
      <c r="A233" s="147" t="s">
        <v>323</v>
      </c>
      <c r="B233" s="202" t="s">
        <v>535</v>
      </c>
      <c r="C233" s="90"/>
      <c r="D233" s="34"/>
      <c r="E233" s="42"/>
      <c r="F233" s="43">
        <f t="shared" si="27"/>
        <v>130067</v>
      </c>
      <c r="G233" s="74">
        <f>SUM(G234,G237,G242,G248)</f>
        <v>130067</v>
      </c>
      <c r="H233" s="74">
        <f>SUM(H234,H237,H242,H248)</f>
        <v>0</v>
      </c>
      <c r="I233" s="80">
        <f t="shared" si="24"/>
        <v>134076</v>
      </c>
      <c r="J233" s="75">
        <f>SUM(J234,J237,J242,J248)</f>
        <v>134076</v>
      </c>
      <c r="K233" s="75">
        <f>SUM(K234,K237,K242,K248)</f>
        <v>0</v>
      </c>
      <c r="L233" s="81">
        <f t="shared" si="23"/>
        <v>137412</v>
      </c>
      <c r="M233" s="76">
        <f>SUM(M234,M237,M242,M248)</f>
        <v>137412</v>
      </c>
      <c r="N233" s="76">
        <f>SUM(N234,N237,N242,N248)</f>
        <v>0</v>
      </c>
      <c r="O233" s="15"/>
      <c r="P233" s="15"/>
    </row>
    <row r="234" spans="1:16" s="11" customFormat="1" ht="41.25">
      <c r="A234" s="54" t="s">
        <v>527</v>
      </c>
      <c r="B234" s="199" t="s">
        <v>528</v>
      </c>
      <c r="C234" s="33"/>
      <c r="D234" s="30"/>
      <c r="E234" s="31"/>
      <c r="F234" s="55">
        <f t="shared" si="27"/>
        <v>14352</v>
      </c>
      <c r="G234" s="64">
        <f>SUM(G235,G236)</f>
        <v>14352</v>
      </c>
      <c r="H234" s="64">
        <f>SUM(H235,H236)</f>
        <v>0</v>
      </c>
      <c r="I234" s="101">
        <f t="shared" si="24"/>
        <v>14975</v>
      </c>
      <c r="J234" s="112">
        <f>SUM(J235,J236)</f>
        <v>14975</v>
      </c>
      <c r="K234" s="112">
        <f>SUM(K235,K236)</f>
        <v>0</v>
      </c>
      <c r="L234" s="102">
        <f t="shared" si="23"/>
        <v>15503</v>
      </c>
      <c r="M234" s="113">
        <f>SUM(M235,M236)</f>
        <v>15503</v>
      </c>
      <c r="N234" s="113">
        <f>SUM(N235,N236)</f>
        <v>0</v>
      </c>
      <c r="O234" s="15"/>
      <c r="P234" s="15"/>
    </row>
    <row r="235" spans="1:16" s="11" customFormat="1" ht="27">
      <c r="A235" s="94" t="s">
        <v>416</v>
      </c>
      <c r="B235" s="193" t="s">
        <v>529</v>
      </c>
      <c r="C235" s="33" t="s">
        <v>237</v>
      </c>
      <c r="D235" s="122" t="s">
        <v>241</v>
      </c>
      <c r="E235" s="33" t="s">
        <v>248</v>
      </c>
      <c r="F235" s="46">
        <f t="shared" si="27"/>
        <v>14352</v>
      </c>
      <c r="G235" s="51">
        <f>14352</f>
        <v>14352</v>
      </c>
      <c r="H235" s="51"/>
      <c r="I235" s="48">
        <f t="shared" si="24"/>
        <v>14975</v>
      </c>
      <c r="J235" s="52">
        <f>14975</f>
        <v>14975</v>
      </c>
      <c r="K235" s="269"/>
      <c r="L235" s="39">
        <f t="shared" si="23"/>
        <v>15503</v>
      </c>
      <c r="M235" s="53">
        <f>15503</f>
        <v>15503</v>
      </c>
      <c r="N235" s="53"/>
      <c r="O235" s="15"/>
      <c r="P235" s="15"/>
    </row>
    <row r="236" spans="1:16" s="11" customFormat="1" ht="27">
      <c r="A236" s="94" t="s">
        <v>416</v>
      </c>
      <c r="B236" s="193" t="s">
        <v>529</v>
      </c>
      <c r="C236" s="33" t="s">
        <v>238</v>
      </c>
      <c r="D236" s="122" t="s">
        <v>241</v>
      </c>
      <c r="E236" s="33" t="s">
        <v>248</v>
      </c>
      <c r="F236" s="46">
        <f t="shared" si="27"/>
        <v>0</v>
      </c>
      <c r="G236" s="51"/>
      <c r="H236" s="51"/>
      <c r="I236" s="48">
        <f t="shared" si="24"/>
        <v>0</v>
      </c>
      <c r="J236" s="52"/>
      <c r="K236" s="269"/>
      <c r="L236" s="39">
        <f t="shared" si="23"/>
        <v>0</v>
      </c>
      <c r="M236" s="53"/>
      <c r="N236" s="53"/>
      <c r="O236" s="15"/>
      <c r="P236" s="15"/>
    </row>
    <row r="237" spans="1:16" s="11" customFormat="1" ht="41.25">
      <c r="A237" s="54" t="s">
        <v>504</v>
      </c>
      <c r="B237" s="199" t="s">
        <v>530</v>
      </c>
      <c r="C237" s="33"/>
      <c r="D237" s="30"/>
      <c r="E237" s="31"/>
      <c r="F237" s="55">
        <f t="shared" si="27"/>
        <v>111629</v>
      </c>
      <c r="G237" s="64">
        <f>SUM(G238,G239,G240,G241)</f>
        <v>111629</v>
      </c>
      <c r="H237" s="64">
        <f>SUM(H238,H239,H240,H241)</f>
        <v>0</v>
      </c>
      <c r="I237" s="101">
        <f t="shared" si="24"/>
        <v>115015</v>
      </c>
      <c r="J237" s="112">
        <f>SUM(J238,J239,J240,J241)</f>
        <v>115015</v>
      </c>
      <c r="K237" s="112">
        <f>SUM(K238,K239,K240,K241)</f>
        <v>0</v>
      </c>
      <c r="L237" s="102">
        <f t="shared" si="23"/>
        <v>117823</v>
      </c>
      <c r="M237" s="113">
        <f>SUM(M238,M239,M240,M241)</f>
        <v>117823</v>
      </c>
      <c r="N237" s="113">
        <f>SUM(N238,N239,N240,N241)</f>
        <v>0</v>
      </c>
      <c r="O237" s="15"/>
      <c r="P237" s="15"/>
    </row>
    <row r="238" spans="1:16" s="11" customFormat="1" ht="41.25">
      <c r="A238" s="93" t="s">
        <v>466</v>
      </c>
      <c r="B238" s="193" t="s">
        <v>531</v>
      </c>
      <c r="C238" s="33" t="s">
        <v>237</v>
      </c>
      <c r="D238" s="122" t="s">
        <v>241</v>
      </c>
      <c r="E238" s="33" t="s">
        <v>248</v>
      </c>
      <c r="F238" s="46">
        <f t="shared" si="27"/>
        <v>74096</v>
      </c>
      <c r="G238" s="51">
        <f>74096</f>
        <v>74096</v>
      </c>
      <c r="H238" s="51"/>
      <c r="I238" s="48">
        <f t="shared" si="24"/>
        <v>77312</v>
      </c>
      <c r="J238" s="52">
        <f>77312</f>
        <v>77312</v>
      </c>
      <c r="K238" s="269"/>
      <c r="L238" s="39">
        <f aca="true" t="shared" si="28" ref="L238:L269">SUM(M238:N238)</f>
        <v>80040</v>
      </c>
      <c r="M238" s="53">
        <f>80040</f>
        <v>80040</v>
      </c>
      <c r="N238" s="53"/>
      <c r="O238" s="15"/>
      <c r="P238" s="15"/>
    </row>
    <row r="239" spans="1:16" s="11" customFormat="1" ht="41.25">
      <c r="A239" s="93" t="s">
        <v>466</v>
      </c>
      <c r="B239" s="193" t="s">
        <v>531</v>
      </c>
      <c r="C239" s="33" t="s">
        <v>238</v>
      </c>
      <c r="D239" s="122" t="s">
        <v>241</v>
      </c>
      <c r="E239" s="33" t="s">
        <v>248</v>
      </c>
      <c r="F239" s="46">
        <f t="shared" si="27"/>
        <v>10001</v>
      </c>
      <c r="G239" s="51">
        <f>10001</f>
        <v>10001</v>
      </c>
      <c r="H239" s="51"/>
      <c r="I239" s="48">
        <f t="shared" si="24"/>
        <v>10001</v>
      </c>
      <c r="J239" s="52">
        <f>10001</f>
        <v>10001</v>
      </c>
      <c r="K239" s="269"/>
      <c r="L239" s="39">
        <f t="shared" si="28"/>
        <v>10001</v>
      </c>
      <c r="M239" s="53">
        <f>10001</f>
        <v>10001</v>
      </c>
      <c r="N239" s="53"/>
      <c r="O239" s="15"/>
      <c r="P239" s="15"/>
    </row>
    <row r="240" spans="1:16" s="11" customFormat="1" ht="41.25">
      <c r="A240" s="93" t="s">
        <v>466</v>
      </c>
      <c r="B240" s="193" t="s">
        <v>531</v>
      </c>
      <c r="C240" s="33" t="s">
        <v>274</v>
      </c>
      <c r="D240" s="122" t="s">
        <v>241</v>
      </c>
      <c r="E240" s="33" t="s">
        <v>248</v>
      </c>
      <c r="F240" s="46">
        <f t="shared" si="27"/>
        <v>26154</v>
      </c>
      <c r="G240" s="51">
        <f>26154</f>
        <v>26154</v>
      </c>
      <c r="H240" s="51"/>
      <c r="I240" s="48">
        <f t="shared" si="24"/>
        <v>26324</v>
      </c>
      <c r="J240" s="52">
        <f>26324</f>
        <v>26324</v>
      </c>
      <c r="K240" s="269"/>
      <c r="L240" s="39">
        <f t="shared" si="28"/>
        <v>26404</v>
      </c>
      <c r="M240" s="53">
        <f>26404</f>
        <v>26404</v>
      </c>
      <c r="N240" s="53"/>
      <c r="O240" s="15"/>
      <c r="P240" s="15"/>
    </row>
    <row r="241" spans="1:16" s="11" customFormat="1" ht="41.25">
      <c r="A241" s="93" t="s">
        <v>466</v>
      </c>
      <c r="B241" s="193" t="s">
        <v>531</v>
      </c>
      <c r="C241" s="33" t="s">
        <v>239</v>
      </c>
      <c r="D241" s="122" t="s">
        <v>241</v>
      </c>
      <c r="E241" s="33" t="s">
        <v>248</v>
      </c>
      <c r="F241" s="46">
        <f t="shared" si="27"/>
        <v>1378</v>
      </c>
      <c r="G241" s="51">
        <f>1378</f>
        <v>1378</v>
      </c>
      <c r="H241" s="51"/>
      <c r="I241" s="48">
        <f t="shared" si="24"/>
        <v>1378</v>
      </c>
      <c r="J241" s="52">
        <f>1378</f>
        <v>1378</v>
      </c>
      <c r="K241" s="269"/>
      <c r="L241" s="39">
        <f t="shared" si="28"/>
        <v>1378</v>
      </c>
      <c r="M241" s="53">
        <f>1378</f>
        <v>1378</v>
      </c>
      <c r="N241" s="53"/>
      <c r="O241" s="15"/>
      <c r="P241" s="15"/>
    </row>
    <row r="242" spans="1:16" s="11" customFormat="1" ht="27">
      <c r="A242" s="93" t="s">
        <v>524</v>
      </c>
      <c r="B242" s="199" t="s">
        <v>532</v>
      </c>
      <c r="C242" s="33"/>
      <c r="D242" s="30"/>
      <c r="E242" s="31"/>
      <c r="F242" s="55">
        <f t="shared" si="27"/>
        <v>4086</v>
      </c>
      <c r="G242" s="64">
        <f>SUM(G243,G244,G245,G246,G247)</f>
        <v>4086</v>
      </c>
      <c r="H242" s="64">
        <f>SUM(H243,H244,H245,H246,H247)</f>
        <v>0</v>
      </c>
      <c r="I242" s="101">
        <f t="shared" si="24"/>
        <v>4086</v>
      </c>
      <c r="J242" s="112">
        <f>SUM(J243,J244,J245,J246,J247)</f>
        <v>4086</v>
      </c>
      <c r="K242" s="112">
        <f>SUM(K243,K244,K245,K246,K247)</f>
        <v>0</v>
      </c>
      <c r="L242" s="102">
        <f t="shared" si="28"/>
        <v>4086</v>
      </c>
      <c r="M242" s="113">
        <f>SUM(M243,M244,M245,M246,M247)</f>
        <v>4086</v>
      </c>
      <c r="N242" s="113">
        <f>SUM(N243,N244,N245,N246,N247)</f>
        <v>0</v>
      </c>
      <c r="O242" s="15"/>
      <c r="P242" s="15"/>
    </row>
    <row r="243" spans="1:16" s="11" customFormat="1" ht="27">
      <c r="A243" s="148" t="s">
        <v>250</v>
      </c>
      <c r="B243" s="193" t="s">
        <v>533</v>
      </c>
      <c r="C243" s="33" t="s">
        <v>238</v>
      </c>
      <c r="D243" s="122" t="s">
        <v>241</v>
      </c>
      <c r="E243" s="33" t="s">
        <v>248</v>
      </c>
      <c r="F243" s="46">
        <f t="shared" si="27"/>
        <v>600</v>
      </c>
      <c r="G243" s="51">
        <f>600</f>
        <v>600</v>
      </c>
      <c r="H243" s="51"/>
      <c r="I243" s="48">
        <f t="shared" si="24"/>
        <v>600</v>
      </c>
      <c r="J243" s="52">
        <f>600</f>
        <v>600</v>
      </c>
      <c r="K243" s="269"/>
      <c r="L243" s="39">
        <f t="shared" si="28"/>
        <v>600</v>
      </c>
      <c r="M243" s="53">
        <f>600</f>
        <v>600</v>
      </c>
      <c r="N243" s="53"/>
      <c r="O243" s="15"/>
      <c r="P243" s="15"/>
    </row>
    <row r="244" spans="1:16" s="11" customFormat="1" ht="27">
      <c r="A244" s="148" t="s">
        <v>250</v>
      </c>
      <c r="B244" s="201" t="s">
        <v>533</v>
      </c>
      <c r="C244" s="62" t="s">
        <v>355</v>
      </c>
      <c r="D244" s="122" t="s">
        <v>241</v>
      </c>
      <c r="E244" s="33" t="s">
        <v>248</v>
      </c>
      <c r="F244" s="46">
        <f t="shared" si="27"/>
        <v>1516</v>
      </c>
      <c r="G244" s="51">
        <f>1516</f>
        <v>1516</v>
      </c>
      <c r="H244" s="51"/>
      <c r="I244" s="48">
        <f t="shared" si="24"/>
        <v>1516</v>
      </c>
      <c r="J244" s="52">
        <f>1516</f>
        <v>1516</v>
      </c>
      <c r="K244" s="269"/>
      <c r="L244" s="39">
        <f t="shared" si="28"/>
        <v>1516</v>
      </c>
      <c r="M244" s="53">
        <f>1516</f>
        <v>1516</v>
      </c>
      <c r="N244" s="53"/>
      <c r="O244" s="15"/>
      <c r="P244" s="15"/>
    </row>
    <row r="245" spans="1:14" s="28" customFormat="1" ht="42" customHeight="1">
      <c r="A245" s="148" t="s">
        <v>250</v>
      </c>
      <c r="B245" s="201" t="s">
        <v>533</v>
      </c>
      <c r="C245" s="62" t="s">
        <v>274</v>
      </c>
      <c r="D245" s="122" t="s">
        <v>241</v>
      </c>
      <c r="E245" s="33" t="s">
        <v>219</v>
      </c>
      <c r="F245" s="46">
        <f>SUM(G245:H245)</f>
        <v>1200</v>
      </c>
      <c r="G245" s="51">
        <f>1200</f>
        <v>1200</v>
      </c>
      <c r="H245" s="51"/>
      <c r="I245" s="88">
        <f aca="true" t="shared" si="29" ref="I245:I269">SUM(J245:K245)</f>
        <v>1200</v>
      </c>
      <c r="J245" s="104">
        <f>1200</f>
        <v>1200</v>
      </c>
      <c r="K245" s="104"/>
      <c r="L245" s="89">
        <f t="shared" si="28"/>
        <v>1200</v>
      </c>
      <c r="M245" s="105">
        <f>1200</f>
        <v>1200</v>
      </c>
      <c r="N245" s="105"/>
    </row>
    <row r="246" spans="1:14" s="28" customFormat="1" ht="27">
      <c r="A246" s="148" t="s">
        <v>250</v>
      </c>
      <c r="B246" s="201" t="s">
        <v>533</v>
      </c>
      <c r="C246" s="62" t="s">
        <v>274</v>
      </c>
      <c r="D246" s="122" t="s">
        <v>241</v>
      </c>
      <c r="E246" s="33" t="s">
        <v>248</v>
      </c>
      <c r="F246" s="46">
        <f>SUM(G246:H246)</f>
        <v>770</v>
      </c>
      <c r="G246" s="51">
        <f>770</f>
        <v>770</v>
      </c>
      <c r="H246" s="51"/>
      <c r="I246" s="48">
        <f t="shared" si="29"/>
        <v>770</v>
      </c>
      <c r="J246" s="52">
        <f>770</f>
        <v>770</v>
      </c>
      <c r="K246" s="269"/>
      <c r="L246" s="39">
        <f t="shared" si="28"/>
        <v>770</v>
      </c>
      <c r="M246" s="53">
        <f>770</f>
        <v>770</v>
      </c>
      <c r="N246" s="53"/>
    </row>
    <row r="247" spans="1:16" s="11" customFormat="1" ht="27">
      <c r="A247" s="148" t="s">
        <v>250</v>
      </c>
      <c r="B247" s="193" t="s">
        <v>533</v>
      </c>
      <c r="C247" s="33" t="s">
        <v>239</v>
      </c>
      <c r="D247" s="122" t="s">
        <v>241</v>
      </c>
      <c r="E247" s="33" t="s">
        <v>248</v>
      </c>
      <c r="F247" s="46">
        <f>SUM(G247:H247)</f>
        <v>0</v>
      </c>
      <c r="G247" s="51"/>
      <c r="H247" s="51"/>
      <c r="I247" s="48">
        <f t="shared" si="29"/>
        <v>0</v>
      </c>
      <c r="J247" s="52"/>
      <c r="K247" s="269"/>
      <c r="L247" s="39">
        <f t="shared" si="28"/>
        <v>0</v>
      </c>
      <c r="M247" s="53"/>
      <c r="N247" s="53"/>
      <c r="O247" s="15"/>
      <c r="P247" s="15"/>
    </row>
    <row r="248" spans="1:15" s="11" customFormat="1" ht="96">
      <c r="A248" s="257" t="s">
        <v>674</v>
      </c>
      <c r="B248" s="237" t="s">
        <v>676</v>
      </c>
      <c r="C248" s="12"/>
      <c r="D248" s="233"/>
      <c r="E248" s="12"/>
      <c r="F248" s="167">
        <f>SUM(G248:H248)</f>
        <v>0</v>
      </c>
      <c r="G248" s="168">
        <f>SUM(G249)</f>
        <v>0</v>
      </c>
      <c r="H248" s="168">
        <f>SUM(H249)</f>
        <v>0</v>
      </c>
      <c r="I248" s="169">
        <f t="shared" si="29"/>
        <v>0</v>
      </c>
      <c r="J248" s="170">
        <f>SUM(J249)</f>
        <v>0</v>
      </c>
      <c r="K248" s="170">
        <f>SUM(K249)</f>
        <v>0</v>
      </c>
      <c r="L248" s="171">
        <f t="shared" si="28"/>
        <v>0</v>
      </c>
      <c r="M248" s="135">
        <f>SUM(M249)</f>
        <v>0</v>
      </c>
      <c r="N248" s="135">
        <f>SUM(N249)</f>
        <v>0</v>
      </c>
      <c r="O248" s="14"/>
    </row>
    <row r="249" spans="1:15" s="11" customFormat="1" ht="82.5">
      <c r="A249" s="232" t="s">
        <v>410</v>
      </c>
      <c r="B249" s="237" t="s">
        <v>675</v>
      </c>
      <c r="C249" s="12" t="s">
        <v>239</v>
      </c>
      <c r="D249" s="234" t="s">
        <v>241</v>
      </c>
      <c r="E249" s="12" t="s">
        <v>248</v>
      </c>
      <c r="F249" s="167">
        <f>SUM(G249:H249)</f>
        <v>0</v>
      </c>
      <c r="G249" s="168"/>
      <c r="H249" s="168"/>
      <c r="I249" s="169">
        <f t="shared" si="29"/>
        <v>0</v>
      </c>
      <c r="J249" s="170"/>
      <c r="K249" s="170"/>
      <c r="L249" s="171">
        <f t="shared" si="28"/>
        <v>0</v>
      </c>
      <c r="M249" s="135"/>
      <c r="N249" s="135"/>
      <c r="O249" s="14"/>
    </row>
    <row r="250" spans="1:16" s="11" customFormat="1" ht="13.5">
      <c r="A250" s="148"/>
      <c r="B250" s="193"/>
      <c r="C250" s="33"/>
      <c r="D250" s="122"/>
      <c r="E250" s="33"/>
      <c r="F250" s="46"/>
      <c r="G250" s="51"/>
      <c r="H250" s="51"/>
      <c r="I250" s="48"/>
      <c r="J250" s="52"/>
      <c r="K250" s="269"/>
      <c r="L250" s="39"/>
      <c r="M250" s="53"/>
      <c r="N250" s="53"/>
      <c r="O250" s="15"/>
      <c r="P250" s="15"/>
    </row>
    <row r="251" spans="1:16" s="11" customFormat="1" ht="41.25">
      <c r="A251" s="106" t="s">
        <v>534</v>
      </c>
      <c r="B251" s="198" t="s">
        <v>241</v>
      </c>
      <c r="C251" s="42"/>
      <c r="D251" s="34"/>
      <c r="E251" s="42"/>
      <c r="F251" s="43">
        <f t="shared" si="27"/>
        <v>1701955</v>
      </c>
      <c r="G251" s="74">
        <f>SUM(G252,G362,G365,G370)</f>
        <v>54967</v>
      </c>
      <c r="H251" s="74">
        <f>SUM(H252,H362,H365,H370)</f>
        <v>1646988</v>
      </c>
      <c r="I251" s="80">
        <f t="shared" si="29"/>
        <v>1746148</v>
      </c>
      <c r="J251" s="75">
        <f>SUM(J252,J362,J365,J370)</f>
        <v>55278</v>
      </c>
      <c r="K251" s="75">
        <f>SUM(K252,K362,K365,K370)</f>
        <v>1690870</v>
      </c>
      <c r="L251" s="81">
        <f t="shared" si="28"/>
        <v>1805550</v>
      </c>
      <c r="M251" s="76">
        <f>SUM(M252,M362,M365,M370)</f>
        <v>55930</v>
      </c>
      <c r="N251" s="76">
        <f>SUM(N252,N362,N365,N370)</f>
        <v>1749620</v>
      </c>
      <c r="O251" s="15"/>
      <c r="P251" s="15"/>
    </row>
    <row r="252" spans="1:16" s="11" customFormat="1" ht="27">
      <c r="A252" s="106" t="s">
        <v>536</v>
      </c>
      <c r="B252" s="198" t="s">
        <v>537</v>
      </c>
      <c r="C252" s="42"/>
      <c r="D252" s="34"/>
      <c r="E252" s="42"/>
      <c r="F252" s="43">
        <f t="shared" si="27"/>
        <v>1673217</v>
      </c>
      <c r="G252" s="74">
        <f>SUM(G253,G269,G336,G339,G342,G344,G349,G351,G358)</f>
        <v>52744</v>
      </c>
      <c r="H252" s="74">
        <f>SUM(H253,H269,H336,H339,H342,H344,H349,H351,H358)</f>
        <v>1620473</v>
      </c>
      <c r="I252" s="80">
        <f t="shared" si="29"/>
        <v>1717621</v>
      </c>
      <c r="J252" s="75">
        <f>SUM(J253,J269,J336,J339,J342,J344,J349,J351,J358)</f>
        <v>53266</v>
      </c>
      <c r="K252" s="75">
        <f>SUM(K253,K269,K336,K339,K342,K344,K349,K351,K358)</f>
        <v>1664355</v>
      </c>
      <c r="L252" s="81">
        <f t="shared" si="28"/>
        <v>1776733</v>
      </c>
      <c r="M252" s="76">
        <f>SUM(M253,M269,M336,M339,M342,M344,M349,M351,M358)</f>
        <v>53881</v>
      </c>
      <c r="N252" s="76">
        <f>SUM(N253,N269,N336,N339,N342,N344,N349,N351,N358)</f>
        <v>1722852</v>
      </c>
      <c r="O252" s="15"/>
      <c r="P252" s="15"/>
    </row>
    <row r="253" spans="1:16" s="11" customFormat="1" ht="41.25">
      <c r="A253" s="93" t="s">
        <v>538</v>
      </c>
      <c r="B253" s="186" t="s">
        <v>539</v>
      </c>
      <c r="C253" s="33"/>
      <c r="D253" s="30"/>
      <c r="E253" s="31"/>
      <c r="F253" s="55">
        <f t="shared" si="27"/>
        <v>802789</v>
      </c>
      <c r="G253" s="69">
        <f>SUM(G254:G268)</f>
        <v>0</v>
      </c>
      <c r="H253" s="69">
        <f>SUM(H254:H268)</f>
        <v>802789</v>
      </c>
      <c r="I253" s="101">
        <f t="shared" si="29"/>
        <v>814358</v>
      </c>
      <c r="J253" s="109">
        <f>SUM(J254:J268)</f>
        <v>0</v>
      </c>
      <c r="K253" s="109">
        <f>SUM(K254:K268)</f>
        <v>814358</v>
      </c>
      <c r="L253" s="102">
        <f t="shared" si="28"/>
        <v>844120</v>
      </c>
      <c r="M253" s="110">
        <f>SUM(M254:M268)</f>
        <v>0</v>
      </c>
      <c r="N253" s="110">
        <f>SUM(N254:N268)</f>
        <v>844120</v>
      </c>
      <c r="O253" s="15"/>
      <c r="P253" s="15"/>
    </row>
    <row r="254" spans="1:16" s="11" customFormat="1" ht="41.25">
      <c r="A254" s="93" t="s">
        <v>557</v>
      </c>
      <c r="B254" s="193" t="s">
        <v>540</v>
      </c>
      <c r="C254" s="33" t="s">
        <v>238</v>
      </c>
      <c r="D254" s="122">
        <v>10</v>
      </c>
      <c r="E254" s="33" t="s">
        <v>219</v>
      </c>
      <c r="F254" s="46">
        <f t="shared" si="27"/>
        <v>6074</v>
      </c>
      <c r="G254" s="51"/>
      <c r="H254" s="51">
        <v>6074</v>
      </c>
      <c r="I254" s="48">
        <f t="shared" si="29"/>
        <v>6074</v>
      </c>
      <c r="J254" s="52"/>
      <c r="K254" s="269">
        <v>6074</v>
      </c>
      <c r="L254" s="39">
        <f t="shared" si="28"/>
        <v>6317</v>
      </c>
      <c r="M254" s="53"/>
      <c r="N254" s="53">
        <f>6317</f>
        <v>6317</v>
      </c>
      <c r="O254" s="15"/>
      <c r="P254" s="15"/>
    </row>
    <row r="255" spans="1:16" s="11" customFormat="1" ht="41.25">
      <c r="A255" s="93" t="s">
        <v>557</v>
      </c>
      <c r="B255" s="193" t="s">
        <v>540</v>
      </c>
      <c r="C255" s="33" t="s">
        <v>355</v>
      </c>
      <c r="D255" s="122">
        <v>10</v>
      </c>
      <c r="E255" s="33" t="s">
        <v>219</v>
      </c>
      <c r="F255" s="46">
        <f t="shared" si="27"/>
        <v>514863</v>
      </c>
      <c r="G255" s="51"/>
      <c r="H255" s="51">
        <v>514863</v>
      </c>
      <c r="I255" s="48">
        <f t="shared" si="29"/>
        <v>514835</v>
      </c>
      <c r="J255" s="52"/>
      <c r="K255" s="269">
        <v>514835</v>
      </c>
      <c r="L255" s="39">
        <f t="shared" si="28"/>
        <v>535428</v>
      </c>
      <c r="M255" s="53"/>
      <c r="N255" s="53">
        <f>535428</f>
        <v>535428</v>
      </c>
      <c r="O255" s="15"/>
      <c r="P255" s="15"/>
    </row>
    <row r="256" spans="1:16" s="11" customFormat="1" ht="41.25">
      <c r="A256" s="93" t="s">
        <v>559</v>
      </c>
      <c r="B256" s="193" t="s">
        <v>558</v>
      </c>
      <c r="C256" s="33" t="s">
        <v>238</v>
      </c>
      <c r="D256" s="33" t="s">
        <v>399</v>
      </c>
      <c r="E256" s="33" t="s">
        <v>219</v>
      </c>
      <c r="F256" s="46">
        <f t="shared" si="27"/>
        <v>192</v>
      </c>
      <c r="G256" s="51"/>
      <c r="H256" s="51">
        <v>192</v>
      </c>
      <c r="I256" s="48">
        <f t="shared" si="29"/>
        <v>203</v>
      </c>
      <c r="J256" s="52"/>
      <c r="K256" s="269">
        <v>203</v>
      </c>
      <c r="L256" s="39">
        <f t="shared" si="28"/>
        <v>224</v>
      </c>
      <c r="M256" s="53"/>
      <c r="N256" s="53">
        <f>224</f>
        <v>224</v>
      </c>
      <c r="O256" s="15"/>
      <c r="P256" s="15"/>
    </row>
    <row r="257" spans="1:16" s="11" customFormat="1" ht="41.25">
      <c r="A257" s="93" t="s">
        <v>559</v>
      </c>
      <c r="B257" s="193" t="s">
        <v>558</v>
      </c>
      <c r="C257" s="33" t="s">
        <v>355</v>
      </c>
      <c r="D257" s="33" t="s">
        <v>399</v>
      </c>
      <c r="E257" s="33" t="s">
        <v>219</v>
      </c>
      <c r="F257" s="46">
        <f t="shared" si="27"/>
        <v>19183</v>
      </c>
      <c r="G257" s="51"/>
      <c r="H257" s="51">
        <v>19183</v>
      </c>
      <c r="I257" s="48">
        <f t="shared" si="29"/>
        <v>20246</v>
      </c>
      <c r="J257" s="52"/>
      <c r="K257" s="269">
        <v>20246</v>
      </c>
      <c r="L257" s="39">
        <f t="shared" si="28"/>
        <v>21043</v>
      </c>
      <c r="M257" s="53"/>
      <c r="N257" s="53">
        <f>21043</f>
        <v>21043</v>
      </c>
      <c r="O257" s="15"/>
      <c r="P257" s="15"/>
    </row>
    <row r="258" spans="1:16" s="11" customFormat="1" ht="54.75">
      <c r="A258" s="93" t="s">
        <v>561</v>
      </c>
      <c r="B258" s="193" t="s">
        <v>560</v>
      </c>
      <c r="C258" s="33" t="s">
        <v>238</v>
      </c>
      <c r="D258" s="33" t="s">
        <v>399</v>
      </c>
      <c r="E258" s="33" t="s">
        <v>219</v>
      </c>
      <c r="F258" s="46">
        <f t="shared" si="27"/>
        <v>2065</v>
      </c>
      <c r="G258" s="51"/>
      <c r="H258" s="51">
        <v>2065</v>
      </c>
      <c r="I258" s="48">
        <f t="shared" si="29"/>
        <v>2148</v>
      </c>
      <c r="J258" s="52"/>
      <c r="K258" s="269">
        <v>2148</v>
      </c>
      <c r="L258" s="39">
        <f t="shared" si="28"/>
        <v>2234</v>
      </c>
      <c r="M258" s="53"/>
      <c r="N258" s="53">
        <f>2234</f>
        <v>2234</v>
      </c>
      <c r="O258" s="15"/>
      <c r="P258" s="15"/>
    </row>
    <row r="259" spans="1:16" s="11" customFormat="1" ht="54.75">
      <c r="A259" s="93" t="s">
        <v>561</v>
      </c>
      <c r="B259" s="193" t="s">
        <v>560</v>
      </c>
      <c r="C259" s="33" t="s">
        <v>355</v>
      </c>
      <c r="D259" s="33" t="s">
        <v>399</v>
      </c>
      <c r="E259" s="33" t="s">
        <v>219</v>
      </c>
      <c r="F259" s="46">
        <f t="shared" si="27"/>
        <v>198519</v>
      </c>
      <c r="G259" s="51"/>
      <c r="H259" s="51">
        <v>198519</v>
      </c>
      <c r="I259" s="48">
        <f t="shared" si="29"/>
        <v>206459</v>
      </c>
      <c r="J259" s="52"/>
      <c r="K259" s="269">
        <v>206459</v>
      </c>
      <c r="L259" s="39">
        <f t="shared" si="28"/>
        <v>214717</v>
      </c>
      <c r="M259" s="53"/>
      <c r="N259" s="53">
        <f>214717</f>
        <v>214717</v>
      </c>
      <c r="O259" s="15"/>
      <c r="P259" s="15"/>
    </row>
    <row r="260" spans="1:16" s="11" customFormat="1" ht="69">
      <c r="A260" s="93" t="s">
        <v>563</v>
      </c>
      <c r="B260" s="193" t="s">
        <v>562</v>
      </c>
      <c r="C260" s="31" t="s">
        <v>238</v>
      </c>
      <c r="D260" s="33" t="s">
        <v>399</v>
      </c>
      <c r="E260" s="33" t="s">
        <v>219</v>
      </c>
      <c r="F260" s="46">
        <f t="shared" si="27"/>
        <v>94</v>
      </c>
      <c r="G260" s="51"/>
      <c r="H260" s="51">
        <v>94</v>
      </c>
      <c r="I260" s="48">
        <f t="shared" si="29"/>
        <v>98</v>
      </c>
      <c r="J260" s="52"/>
      <c r="K260" s="269">
        <v>98</v>
      </c>
      <c r="L260" s="39">
        <f t="shared" si="28"/>
        <v>101</v>
      </c>
      <c r="M260" s="53"/>
      <c r="N260" s="53">
        <f>101</f>
        <v>101</v>
      </c>
      <c r="O260" s="15"/>
      <c r="P260" s="15"/>
    </row>
    <row r="261" spans="1:16" s="11" customFormat="1" ht="69">
      <c r="A261" s="93" t="s">
        <v>563</v>
      </c>
      <c r="B261" s="193" t="s">
        <v>562</v>
      </c>
      <c r="C261" s="33" t="s">
        <v>355</v>
      </c>
      <c r="D261" s="33" t="s">
        <v>399</v>
      </c>
      <c r="E261" s="33" t="s">
        <v>219</v>
      </c>
      <c r="F261" s="46">
        <f t="shared" si="27"/>
        <v>7793</v>
      </c>
      <c r="G261" s="51"/>
      <c r="H261" s="51">
        <v>7793</v>
      </c>
      <c r="I261" s="48">
        <f t="shared" si="29"/>
        <v>8104</v>
      </c>
      <c r="J261" s="52"/>
      <c r="K261" s="269">
        <v>8104</v>
      </c>
      <c r="L261" s="39">
        <f t="shared" si="28"/>
        <v>8430</v>
      </c>
      <c r="M261" s="53"/>
      <c r="N261" s="53">
        <f>8430</f>
        <v>8430</v>
      </c>
      <c r="O261" s="15"/>
      <c r="P261" s="15"/>
    </row>
    <row r="262" spans="1:16" s="11" customFormat="1" ht="91.5" customHeight="1">
      <c r="A262" s="93" t="s">
        <v>565</v>
      </c>
      <c r="B262" s="193" t="s">
        <v>564</v>
      </c>
      <c r="C262" s="33" t="s">
        <v>238</v>
      </c>
      <c r="D262" s="33" t="s">
        <v>399</v>
      </c>
      <c r="E262" s="33" t="s">
        <v>219</v>
      </c>
      <c r="F262" s="46">
        <f t="shared" si="27"/>
        <v>306</v>
      </c>
      <c r="G262" s="51"/>
      <c r="H262" s="51">
        <v>306</v>
      </c>
      <c r="I262" s="48">
        <f t="shared" si="29"/>
        <v>318</v>
      </c>
      <c r="J262" s="52"/>
      <c r="K262" s="269">
        <v>318</v>
      </c>
      <c r="L262" s="39">
        <f t="shared" si="28"/>
        <v>331</v>
      </c>
      <c r="M262" s="53"/>
      <c r="N262" s="53">
        <f>331</f>
        <v>331</v>
      </c>
      <c r="O262" s="15"/>
      <c r="P262" s="15"/>
    </row>
    <row r="263" spans="1:16" s="11" customFormat="1" ht="90" customHeight="1">
      <c r="A263" s="93" t="s">
        <v>565</v>
      </c>
      <c r="B263" s="193" t="s">
        <v>564</v>
      </c>
      <c r="C263" s="33" t="s">
        <v>355</v>
      </c>
      <c r="D263" s="33" t="s">
        <v>399</v>
      </c>
      <c r="E263" s="33" t="s">
        <v>219</v>
      </c>
      <c r="F263" s="46">
        <f t="shared" si="27"/>
        <v>30546</v>
      </c>
      <c r="G263" s="51"/>
      <c r="H263" s="51">
        <v>30546</v>
      </c>
      <c r="I263" s="48">
        <f t="shared" si="29"/>
        <v>31768</v>
      </c>
      <c r="J263" s="52"/>
      <c r="K263" s="269">
        <v>31768</v>
      </c>
      <c r="L263" s="39">
        <f t="shared" si="28"/>
        <v>33038</v>
      </c>
      <c r="M263" s="53"/>
      <c r="N263" s="53">
        <f>33038</f>
        <v>33038</v>
      </c>
      <c r="O263" s="15"/>
      <c r="P263" s="15"/>
    </row>
    <row r="264" spans="1:14" s="11" customFormat="1" ht="54.75">
      <c r="A264" s="93" t="s">
        <v>567</v>
      </c>
      <c r="B264" s="193" t="s">
        <v>566</v>
      </c>
      <c r="C264" s="33" t="s">
        <v>238</v>
      </c>
      <c r="D264" s="33" t="s">
        <v>399</v>
      </c>
      <c r="E264" s="33" t="s">
        <v>219</v>
      </c>
      <c r="F264" s="46">
        <f t="shared" si="27"/>
        <v>204</v>
      </c>
      <c r="G264" s="51"/>
      <c r="H264" s="51">
        <v>204</v>
      </c>
      <c r="I264" s="48">
        <f t="shared" si="29"/>
        <v>212</v>
      </c>
      <c r="J264" s="52"/>
      <c r="K264" s="269">
        <v>212</v>
      </c>
      <c r="L264" s="39">
        <f t="shared" si="28"/>
        <v>220</v>
      </c>
      <c r="M264" s="53"/>
      <c r="N264" s="53">
        <f>220</f>
        <v>220</v>
      </c>
    </row>
    <row r="265" spans="1:16" s="11" customFormat="1" ht="54.75">
      <c r="A265" s="93" t="s">
        <v>567</v>
      </c>
      <c r="B265" s="193" t="s">
        <v>566</v>
      </c>
      <c r="C265" s="33" t="s">
        <v>355</v>
      </c>
      <c r="D265" s="33" t="s">
        <v>399</v>
      </c>
      <c r="E265" s="33" t="s">
        <v>219</v>
      </c>
      <c r="F265" s="46">
        <f t="shared" si="27"/>
        <v>20374</v>
      </c>
      <c r="G265" s="51"/>
      <c r="H265" s="51">
        <v>20374</v>
      </c>
      <c r="I265" s="48">
        <f t="shared" si="29"/>
        <v>21189</v>
      </c>
      <c r="J265" s="52"/>
      <c r="K265" s="269">
        <v>21189</v>
      </c>
      <c r="L265" s="39">
        <f t="shared" si="28"/>
        <v>22037</v>
      </c>
      <c r="M265" s="53"/>
      <c r="N265" s="53">
        <f>22037</f>
        <v>22037</v>
      </c>
      <c r="O265" s="15"/>
      <c r="P265" s="15"/>
    </row>
    <row r="266" spans="1:16" s="11" customFormat="1" ht="69">
      <c r="A266" s="115" t="s">
        <v>649</v>
      </c>
      <c r="B266" s="238" t="s">
        <v>650</v>
      </c>
      <c r="C266" s="12" t="s">
        <v>355</v>
      </c>
      <c r="D266" s="12" t="s">
        <v>399</v>
      </c>
      <c r="E266" s="12" t="s">
        <v>219</v>
      </c>
      <c r="F266" s="116">
        <f t="shared" si="27"/>
        <v>0</v>
      </c>
      <c r="G266" s="117"/>
      <c r="H266" s="116"/>
      <c r="I266" s="177">
        <f t="shared" si="29"/>
        <v>0</v>
      </c>
      <c r="J266" s="177"/>
      <c r="K266" s="278"/>
      <c r="L266" s="179">
        <f t="shared" si="28"/>
        <v>0</v>
      </c>
      <c r="M266" s="179"/>
      <c r="N266" s="179"/>
      <c r="O266" s="15"/>
      <c r="P266" s="15"/>
    </row>
    <row r="267" spans="1:16" s="11" customFormat="1" ht="82.5">
      <c r="A267" s="149" t="s">
        <v>569</v>
      </c>
      <c r="B267" s="199" t="s">
        <v>568</v>
      </c>
      <c r="C267" s="33" t="s">
        <v>238</v>
      </c>
      <c r="D267" s="33" t="s">
        <v>399</v>
      </c>
      <c r="E267" s="33" t="s">
        <v>219</v>
      </c>
      <c r="F267" s="46">
        <f>SUM(G267:H267)</f>
        <v>31</v>
      </c>
      <c r="G267" s="51"/>
      <c r="H267" s="51">
        <v>31</v>
      </c>
      <c r="I267" s="48">
        <f t="shared" si="29"/>
        <v>33</v>
      </c>
      <c r="J267" s="52"/>
      <c r="K267" s="269">
        <v>33</v>
      </c>
      <c r="L267" s="39">
        <f t="shared" si="28"/>
        <v>0</v>
      </c>
      <c r="M267" s="53"/>
      <c r="N267" s="53"/>
      <c r="O267" s="15"/>
      <c r="P267" s="15"/>
    </row>
    <row r="268" spans="1:16" s="11" customFormat="1" ht="82.5">
      <c r="A268" s="149" t="s">
        <v>569</v>
      </c>
      <c r="B268" s="193" t="s">
        <v>568</v>
      </c>
      <c r="C268" s="33" t="s">
        <v>355</v>
      </c>
      <c r="D268" s="33" t="s">
        <v>399</v>
      </c>
      <c r="E268" s="33" t="s">
        <v>219</v>
      </c>
      <c r="F268" s="46">
        <f>SUM(G268:H268)</f>
        <v>2545</v>
      </c>
      <c r="G268" s="51"/>
      <c r="H268" s="51">
        <v>2545</v>
      </c>
      <c r="I268" s="48">
        <f t="shared" si="29"/>
        <v>2671</v>
      </c>
      <c r="J268" s="52"/>
      <c r="K268" s="269">
        <v>2671</v>
      </c>
      <c r="L268" s="39">
        <f t="shared" si="28"/>
        <v>0</v>
      </c>
      <c r="M268" s="53"/>
      <c r="N268" s="53"/>
      <c r="O268" s="15"/>
      <c r="P268" s="15"/>
    </row>
    <row r="269" spans="1:16" s="11" customFormat="1" ht="27">
      <c r="A269" s="93" t="s">
        <v>570</v>
      </c>
      <c r="B269" s="186" t="s">
        <v>571</v>
      </c>
      <c r="C269" s="33"/>
      <c r="D269" s="30"/>
      <c r="E269" s="33"/>
      <c r="F269" s="55">
        <f aca="true" t="shared" si="30" ref="F269:F287">SUM(G269:H269)</f>
        <v>584981</v>
      </c>
      <c r="G269" s="55">
        <f>SUM(G270:G335)</f>
        <v>15281</v>
      </c>
      <c r="H269" s="55">
        <f>SUM(H270:H335)</f>
        <v>569700</v>
      </c>
      <c r="I269" s="101">
        <f t="shared" si="29"/>
        <v>608585</v>
      </c>
      <c r="J269" s="101">
        <f>SUM(J270:J335)</f>
        <v>15281</v>
      </c>
      <c r="K269" s="101">
        <f>SUM(K270:K335)</f>
        <v>593304</v>
      </c>
      <c r="L269" s="102">
        <f t="shared" si="28"/>
        <v>632372</v>
      </c>
      <c r="M269" s="102">
        <f>SUM(M270:M335)</f>
        <v>15281</v>
      </c>
      <c r="N269" s="102">
        <f>SUM(N270:N335)</f>
        <v>617091</v>
      </c>
      <c r="O269" s="15"/>
      <c r="P269" s="15"/>
    </row>
    <row r="270" spans="1:16" s="11" customFormat="1" ht="41.25">
      <c r="A270" s="93" t="s">
        <v>577</v>
      </c>
      <c r="B270" s="187" t="s">
        <v>572</v>
      </c>
      <c r="C270" s="33" t="s">
        <v>238</v>
      </c>
      <c r="D270" s="33" t="s">
        <v>399</v>
      </c>
      <c r="E270" s="33" t="s">
        <v>219</v>
      </c>
      <c r="F270" s="46">
        <f t="shared" si="30"/>
        <v>13</v>
      </c>
      <c r="G270" s="51">
        <f>13</f>
        <v>13</v>
      </c>
      <c r="H270" s="51"/>
      <c r="I270" s="48">
        <f aca="true" t="shared" si="31" ref="I270:I287">SUM(J270:K270)</f>
        <v>13</v>
      </c>
      <c r="J270" s="52">
        <f>13</f>
        <v>13</v>
      </c>
      <c r="K270" s="269"/>
      <c r="L270" s="39">
        <f aca="true" t="shared" si="32" ref="L270:L287">SUM(M270:N270)</f>
        <v>13</v>
      </c>
      <c r="M270" s="53">
        <f>13</f>
        <v>13</v>
      </c>
      <c r="N270" s="53"/>
      <c r="O270" s="15"/>
      <c r="P270" s="15"/>
    </row>
    <row r="271" spans="1:16" s="11" customFormat="1" ht="41.25">
      <c r="A271" s="93" t="s">
        <v>577</v>
      </c>
      <c r="B271" s="187" t="s">
        <v>572</v>
      </c>
      <c r="C271" s="33" t="s">
        <v>355</v>
      </c>
      <c r="D271" s="33" t="s">
        <v>399</v>
      </c>
      <c r="E271" s="33" t="s">
        <v>219</v>
      </c>
      <c r="F271" s="46">
        <f t="shared" si="30"/>
        <v>777</v>
      </c>
      <c r="G271" s="51">
        <f>777</f>
        <v>777</v>
      </c>
      <c r="H271" s="51"/>
      <c r="I271" s="48">
        <f t="shared" si="31"/>
        <v>777</v>
      </c>
      <c r="J271" s="52">
        <f>777</f>
        <v>777</v>
      </c>
      <c r="K271" s="269"/>
      <c r="L271" s="39">
        <f t="shared" si="32"/>
        <v>777</v>
      </c>
      <c r="M271" s="53">
        <f>777</f>
        <v>777</v>
      </c>
      <c r="N271" s="53"/>
      <c r="O271" s="15"/>
      <c r="P271" s="15"/>
    </row>
    <row r="272" spans="1:16" s="11" customFormat="1" ht="27">
      <c r="A272" s="93" t="s">
        <v>578</v>
      </c>
      <c r="B272" s="187" t="s">
        <v>573</v>
      </c>
      <c r="C272" s="33" t="s">
        <v>238</v>
      </c>
      <c r="D272" s="33" t="s">
        <v>399</v>
      </c>
      <c r="E272" s="33" t="s">
        <v>219</v>
      </c>
      <c r="F272" s="46">
        <f t="shared" si="30"/>
        <v>10</v>
      </c>
      <c r="G272" s="51">
        <f>10</f>
        <v>10</v>
      </c>
      <c r="H272" s="51"/>
      <c r="I272" s="48">
        <f t="shared" si="31"/>
        <v>10</v>
      </c>
      <c r="J272" s="52">
        <f>10</f>
        <v>10</v>
      </c>
      <c r="K272" s="269"/>
      <c r="L272" s="39">
        <f t="shared" si="32"/>
        <v>10</v>
      </c>
      <c r="M272" s="53">
        <f>10</f>
        <v>10</v>
      </c>
      <c r="N272" s="53"/>
      <c r="O272" s="15"/>
      <c r="P272" s="15"/>
    </row>
    <row r="273" spans="1:16" s="11" customFormat="1" ht="27">
      <c r="A273" s="93" t="s">
        <v>578</v>
      </c>
      <c r="B273" s="187" t="s">
        <v>573</v>
      </c>
      <c r="C273" s="33" t="s">
        <v>355</v>
      </c>
      <c r="D273" s="33" t="s">
        <v>399</v>
      </c>
      <c r="E273" s="33" t="s">
        <v>219</v>
      </c>
      <c r="F273" s="46">
        <f t="shared" si="30"/>
        <v>1089</v>
      </c>
      <c r="G273" s="51">
        <f>1089</f>
        <v>1089</v>
      </c>
      <c r="H273" s="51"/>
      <c r="I273" s="48">
        <f t="shared" si="31"/>
        <v>1089</v>
      </c>
      <c r="J273" s="52">
        <f>1089</f>
        <v>1089</v>
      </c>
      <c r="K273" s="269"/>
      <c r="L273" s="39">
        <f t="shared" si="32"/>
        <v>1089</v>
      </c>
      <c r="M273" s="53">
        <f>1089</f>
        <v>1089</v>
      </c>
      <c r="N273" s="53"/>
      <c r="O273" s="15"/>
      <c r="P273" s="15"/>
    </row>
    <row r="274" spans="1:16" s="11" customFormat="1" ht="54.75">
      <c r="A274" s="93" t="s">
        <v>579</v>
      </c>
      <c r="B274" s="187" t="s">
        <v>574</v>
      </c>
      <c r="C274" s="33" t="s">
        <v>238</v>
      </c>
      <c r="D274" s="33" t="s">
        <v>399</v>
      </c>
      <c r="E274" s="33" t="s">
        <v>219</v>
      </c>
      <c r="F274" s="46">
        <f t="shared" si="30"/>
        <v>1</v>
      </c>
      <c r="G274" s="51">
        <f>1</f>
        <v>1</v>
      </c>
      <c r="H274" s="51"/>
      <c r="I274" s="48">
        <f t="shared" si="31"/>
        <v>1</v>
      </c>
      <c r="J274" s="52">
        <f>1</f>
        <v>1</v>
      </c>
      <c r="K274" s="269"/>
      <c r="L274" s="39">
        <f t="shared" si="32"/>
        <v>1</v>
      </c>
      <c r="M274" s="53">
        <f>1</f>
        <v>1</v>
      </c>
      <c r="N274" s="53"/>
      <c r="O274" s="15"/>
      <c r="P274" s="15"/>
    </row>
    <row r="275" spans="1:16" s="11" customFormat="1" ht="54.75">
      <c r="A275" s="93" t="s">
        <v>579</v>
      </c>
      <c r="B275" s="187" t="s">
        <v>574</v>
      </c>
      <c r="C275" s="33" t="s">
        <v>355</v>
      </c>
      <c r="D275" s="33" t="s">
        <v>399</v>
      </c>
      <c r="E275" s="33" t="s">
        <v>219</v>
      </c>
      <c r="F275" s="46">
        <f t="shared" si="30"/>
        <v>36</v>
      </c>
      <c r="G275" s="51">
        <f>36</f>
        <v>36</v>
      </c>
      <c r="H275" s="51"/>
      <c r="I275" s="48">
        <f t="shared" si="31"/>
        <v>36</v>
      </c>
      <c r="J275" s="52">
        <f>36</f>
        <v>36</v>
      </c>
      <c r="K275" s="269"/>
      <c r="L275" s="39">
        <f t="shared" si="32"/>
        <v>36</v>
      </c>
      <c r="M275" s="53">
        <f>36</f>
        <v>36</v>
      </c>
      <c r="N275" s="53"/>
      <c r="O275" s="15"/>
      <c r="P275" s="15"/>
    </row>
    <row r="276" spans="1:16" s="11" customFormat="1" ht="89.25" customHeight="1">
      <c r="A276" s="93" t="s">
        <v>576</v>
      </c>
      <c r="B276" s="187" t="s">
        <v>575</v>
      </c>
      <c r="C276" s="33" t="s">
        <v>238</v>
      </c>
      <c r="D276" s="33" t="s">
        <v>399</v>
      </c>
      <c r="E276" s="33" t="s">
        <v>219</v>
      </c>
      <c r="F276" s="46">
        <f t="shared" si="30"/>
        <v>6</v>
      </c>
      <c r="G276" s="51">
        <f>6</f>
        <v>6</v>
      </c>
      <c r="H276" s="51"/>
      <c r="I276" s="48">
        <f t="shared" si="31"/>
        <v>6</v>
      </c>
      <c r="J276" s="52">
        <f>6</f>
        <v>6</v>
      </c>
      <c r="K276" s="269"/>
      <c r="L276" s="39">
        <f t="shared" si="32"/>
        <v>6</v>
      </c>
      <c r="M276" s="53">
        <f>6</f>
        <v>6</v>
      </c>
      <c r="N276" s="53"/>
      <c r="O276" s="15"/>
      <c r="P276" s="15"/>
    </row>
    <row r="277" spans="1:16" s="11" customFormat="1" ht="89.25" customHeight="1">
      <c r="A277" s="93" t="s">
        <v>576</v>
      </c>
      <c r="B277" s="187" t="s">
        <v>575</v>
      </c>
      <c r="C277" s="33" t="s">
        <v>355</v>
      </c>
      <c r="D277" s="33" t="s">
        <v>399</v>
      </c>
      <c r="E277" s="33" t="s">
        <v>219</v>
      </c>
      <c r="F277" s="46">
        <f t="shared" si="30"/>
        <v>305</v>
      </c>
      <c r="G277" s="51">
        <f>305</f>
        <v>305</v>
      </c>
      <c r="H277" s="51"/>
      <c r="I277" s="48">
        <f t="shared" si="31"/>
        <v>305</v>
      </c>
      <c r="J277" s="52">
        <f>305</f>
        <v>305</v>
      </c>
      <c r="K277" s="269"/>
      <c r="L277" s="39">
        <f t="shared" si="32"/>
        <v>305</v>
      </c>
      <c r="M277" s="53">
        <f>305</f>
        <v>305</v>
      </c>
      <c r="N277" s="53"/>
      <c r="O277" s="15"/>
      <c r="P277" s="15"/>
    </row>
    <row r="278" spans="1:16" s="11" customFormat="1" ht="41.25">
      <c r="A278" s="93" t="s">
        <v>581</v>
      </c>
      <c r="B278" s="187" t="s">
        <v>580</v>
      </c>
      <c r="C278" s="33" t="s">
        <v>238</v>
      </c>
      <c r="D278" s="33" t="s">
        <v>399</v>
      </c>
      <c r="E278" s="33" t="s">
        <v>219</v>
      </c>
      <c r="F278" s="46">
        <f t="shared" si="30"/>
        <v>4</v>
      </c>
      <c r="G278" s="51">
        <f>4</f>
        <v>4</v>
      </c>
      <c r="H278" s="51"/>
      <c r="I278" s="48">
        <f t="shared" si="31"/>
        <v>4</v>
      </c>
      <c r="J278" s="52">
        <f>4</f>
        <v>4</v>
      </c>
      <c r="K278" s="269"/>
      <c r="L278" s="39">
        <f t="shared" si="32"/>
        <v>4</v>
      </c>
      <c r="M278" s="53">
        <f>4</f>
        <v>4</v>
      </c>
      <c r="N278" s="53"/>
      <c r="O278" s="15"/>
      <c r="P278" s="15"/>
    </row>
    <row r="279" spans="1:16" s="11" customFormat="1" ht="41.25">
      <c r="A279" s="93" t="s">
        <v>581</v>
      </c>
      <c r="B279" s="187" t="s">
        <v>580</v>
      </c>
      <c r="C279" s="33" t="s">
        <v>355</v>
      </c>
      <c r="D279" s="33" t="s">
        <v>399</v>
      </c>
      <c r="E279" s="33" t="s">
        <v>219</v>
      </c>
      <c r="F279" s="46">
        <f t="shared" si="30"/>
        <v>151</v>
      </c>
      <c r="G279" s="51">
        <f>151</f>
        <v>151</v>
      </c>
      <c r="H279" s="51"/>
      <c r="I279" s="48">
        <f t="shared" si="31"/>
        <v>151</v>
      </c>
      <c r="J279" s="52">
        <f>151</f>
        <v>151</v>
      </c>
      <c r="K279" s="269"/>
      <c r="L279" s="39">
        <f t="shared" si="32"/>
        <v>151</v>
      </c>
      <c r="M279" s="53">
        <f>151</f>
        <v>151</v>
      </c>
      <c r="N279" s="53"/>
      <c r="O279" s="15"/>
      <c r="P279" s="15"/>
    </row>
    <row r="280" spans="1:16" s="11" customFormat="1" ht="28.5" customHeight="1">
      <c r="A280" s="93" t="s">
        <v>583</v>
      </c>
      <c r="B280" s="187" t="s">
        <v>582</v>
      </c>
      <c r="C280" s="33" t="s">
        <v>238</v>
      </c>
      <c r="D280" s="33" t="s">
        <v>399</v>
      </c>
      <c r="E280" s="33" t="s">
        <v>219</v>
      </c>
      <c r="F280" s="46">
        <f t="shared" si="30"/>
        <v>22</v>
      </c>
      <c r="G280" s="51">
        <f>22</f>
        <v>22</v>
      </c>
      <c r="H280" s="51"/>
      <c r="I280" s="48">
        <f t="shared" si="31"/>
        <v>22</v>
      </c>
      <c r="J280" s="52">
        <f>22</f>
        <v>22</v>
      </c>
      <c r="K280" s="269"/>
      <c r="L280" s="39">
        <f t="shared" si="32"/>
        <v>22</v>
      </c>
      <c r="M280" s="53">
        <f>22</f>
        <v>22</v>
      </c>
      <c r="N280" s="53"/>
      <c r="O280" s="15"/>
      <c r="P280" s="15"/>
    </row>
    <row r="281" spans="1:16" s="11" customFormat="1" ht="33.75" customHeight="1">
      <c r="A281" s="93" t="s">
        <v>583</v>
      </c>
      <c r="B281" s="187" t="s">
        <v>582</v>
      </c>
      <c r="C281" s="33" t="s">
        <v>355</v>
      </c>
      <c r="D281" s="33" t="s">
        <v>399</v>
      </c>
      <c r="E281" s="33" t="s">
        <v>219</v>
      </c>
      <c r="F281" s="46">
        <f t="shared" si="30"/>
        <v>2878</v>
      </c>
      <c r="G281" s="51">
        <f>2878</f>
        <v>2878</v>
      </c>
      <c r="H281" s="51"/>
      <c r="I281" s="48">
        <f t="shared" si="31"/>
        <v>2878</v>
      </c>
      <c r="J281" s="52">
        <f>2878</f>
        <v>2878</v>
      </c>
      <c r="K281" s="269"/>
      <c r="L281" s="39">
        <f t="shared" si="32"/>
        <v>2878</v>
      </c>
      <c r="M281" s="53">
        <f>2878</f>
        <v>2878</v>
      </c>
      <c r="N281" s="53"/>
      <c r="O281" s="15"/>
      <c r="P281" s="15"/>
    </row>
    <row r="282" spans="1:16" s="11" customFormat="1" ht="88.5" customHeight="1">
      <c r="A282" s="93" t="s">
        <v>585</v>
      </c>
      <c r="B282" s="187" t="s">
        <v>584</v>
      </c>
      <c r="C282" s="33" t="s">
        <v>238</v>
      </c>
      <c r="D282" s="33" t="s">
        <v>399</v>
      </c>
      <c r="E282" s="33" t="s">
        <v>219</v>
      </c>
      <c r="F282" s="46">
        <f t="shared" si="30"/>
        <v>18</v>
      </c>
      <c r="G282" s="51">
        <f>18</f>
        <v>18</v>
      </c>
      <c r="H282" s="51"/>
      <c r="I282" s="48">
        <f t="shared" si="31"/>
        <v>18</v>
      </c>
      <c r="J282" s="52">
        <f>18</f>
        <v>18</v>
      </c>
      <c r="K282" s="269"/>
      <c r="L282" s="39">
        <f t="shared" si="32"/>
        <v>18</v>
      </c>
      <c r="M282" s="53">
        <f>18</f>
        <v>18</v>
      </c>
      <c r="N282" s="53"/>
      <c r="O282" s="15"/>
      <c r="P282" s="15"/>
    </row>
    <row r="283" spans="1:16" s="11" customFormat="1" ht="87" customHeight="1">
      <c r="A283" s="93" t="s">
        <v>585</v>
      </c>
      <c r="B283" s="187" t="s">
        <v>584</v>
      </c>
      <c r="C283" s="33" t="s">
        <v>355</v>
      </c>
      <c r="D283" s="33" t="s">
        <v>399</v>
      </c>
      <c r="E283" s="33" t="s">
        <v>219</v>
      </c>
      <c r="F283" s="46">
        <f t="shared" si="30"/>
        <v>1255</v>
      </c>
      <c r="G283" s="51">
        <f>1255</f>
        <v>1255</v>
      </c>
      <c r="H283" s="51"/>
      <c r="I283" s="48">
        <f t="shared" si="31"/>
        <v>1255</v>
      </c>
      <c r="J283" s="52">
        <f>1255</f>
        <v>1255</v>
      </c>
      <c r="K283" s="269"/>
      <c r="L283" s="39">
        <f t="shared" si="32"/>
        <v>1255</v>
      </c>
      <c r="M283" s="53">
        <f>1255</f>
        <v>1255</v>
      </c>
      <c r="N283" s="53"/>
      <c r="O283" s="15"/>
      <c r="P283" s="15"/>
    </row>
    <row r="284" spans="1:16" s="11" customFormat="1" ht="27">
      <c r="A284" s="93" t="s">
        <v>587</v>
      </c>
      <c r="B284" s="187" t="s">
        <v>586</v>
      </c>
      <c r="C284" s="33" t="s">
        <v>238</v>
      </c>
      <c r="D284" s="33" t="s">
        <v>399</v>
      </c>
      <c r="E284" s="33" t="s">
        <v>219</v>
      </c>
      <c r="F284" s="46">
        <f t="shared" si="30"/>
        <v>21</v>
      </c>
      <c r="G284" s="46">
        <f>21</f>
        <v>21</v>
      </c>
      <c r="H284" s="46"/>
      <c r="I284" s="48">
        <f t="shared" si="31"/>
        <v>21</v>
      </c>
      <c r="J284" s="48">
        <f>21</f>
        <v>21</v>
      </c>
      <c r="K284" s="273"/>
      <c r="L284" s="39">
        <f t="shared" si="32"/>
        <v>21</v>
      </c>
      <c r="M284" s="39">
        <f>21</f>
        <v>21</v>
      </c>
      <c r="N284" s="39"/>
      <c r="O284" s="15"/>
      <c r="P284" s="15"/>
    </row>
    <row r="285" spans="1:16" s="11" customFormat="1" ht="27">
      <c r="A285" s="93" t="s">
        <v>587</v>
      </c>
      <c r="B285" s="187" t="s">
        <v>586</v>
      </c>
      <c r="C285" s="33" t="s">
        <v>355</v>
      </c>
      <c r="D285" s="33" t="s">
        <v>399</v>
      </c>
      <c r="E285" s="33" t="s">
        <v>219</v>
      </c>
      <c r="F285" s="46">
        <f t="shared" si="30"/>
        <v>2479</v>
      </c>
      <c r="G285" s="51">
        <f>2479</f>
        <v>2479</v>
      </c>
      <c r="H285" s="51"/>
      <c r="I285" s="48">
        <f t="shared" si="31"/>
        <v>2479</v>
      </c>
      <c r="J285" s="52">
        <f>2479</f>
        <v>2479</v>
      </c>
      <c r="K285" s="269"/>
      <c r="L285" s="39">
        <f t="shared" si="32"/>
        <v>2479</v>
      </c>
      <c r="M285" s="53">
        <f>2479</f>
        <v>2479</v>
      </c>
      <c r="N285" s="53"/>
      <c r="O285" s="15"/>
      <c r="P285" s="15"/>
    </row>
    <row r="286" spans="1:16" s="11" customFormat="1" ht="69">
      <c r="A286" s="93" t="s">
        <v>589</v>
      </c>
      <c r="B286" s="187" t="s">
        <v>588</v>
      </c>
      <c r="C286" s="33" t="s">
        <v>238</v>
      </c>
      <c r="D286" s="33" t="s">
        <v>399</v>
      </c>
      <c r="E286" s="33" t="s">
        <v>219</v>
      </c>
      <c r="F286" s="46">
        <f t="shared" si="30"/>
        <v>1</v>
      </c>
      <c r="G286" s="46">
        <f>1</f>
        <v>1</v>
      </c>
      <c r="H286" s="46"/>
      <c r="I286" s="48">
        <f t="shared" si="31"/>
        <v>1</v>
      </c>
      <c r="J286" s="48">
        <f>1</f>
        <v>1</v>
      </c>
      <c r="K286" s="273"/>
      <c r="L286" s="39">
        <f t="shared" si="32"/>
        <v>1</v>
      </c>
      <c r="M286" s="39">
        <f>1</f>
        <v>1</v>
      </c>
      <c r="N286" s="39"/>
      <c r="O286" s="15"/>
      <c r="P286" s="15"/>
    </row>
    <row r="287" spans="1:16" s="11" customFormat="1" ht="69">
      <c r="A287" s="93" t="s">
        <v>589</v>
      </c>
      <c r="B287" s="187" t="s">
        <v>588</v>
      </c>
      <c r="C287" s="33" t="s">
        <v>355</v>
      </c>
      <c r="D287" s="33" t="s">
        <v>399</v>
      </c>
      <c r="E287" s="33" t="s">
        <v>219</v>
      </c>
      <c r="F287" s="46">
        <f t="shared" si="30"/>
        <v>25</v>
      </c>
      <c r="G287" s="51">
        <f>25</f>
        <v>25</v>
      </c>
      <c r="H287" s="51"/>
      <c r="I287" s="48">
        <f t="shared" si="31"/>
        <v>25</v>
      </c>
      <c r="J287" s="52">
        <f>25</f>
        <v>25</v>
      </c>
      <c r="K287" s="269"/>
      <c r="L287" s="39">
        <f t="shared" si="32"/>
        <v>25</v>
      </c>
      <c r="M287" s="53">
        <f>25</f>
        <v>25</v>
      </c>
      <c r="N287" s="53"/>
      <c r="O287" s="15"/>
      <c r="P287" s="15"/>
    </row>
    <row r="288" spans="1:16" s="11" customFormat="1" ht="27">
      <c r="A288" s="93" t="s">
        <v>591</v>
      </c>
      <c r="B288" s="186" t="s">
        <v>590</v>
      </c>
      <c r="C288" s="33" t="s">
        <v>238</v>
      </c>
      <c r="D288" s="33" t="s">
        <v>399</v>
      </c>
      <c r="E288" s="33" t="s">
        <v>219</v>
      </c>
      <c r="F288" s="55">
        <f>SUM(G288:H288)</f>
        <v>50</v>
      </c>
      <c r="G288" s="56">
        <f>50</f>
        <v>50</v>
      </c>
      <c r="H288" s="56"/>
      <c r="I288" s="101">
        <f>SUM(J288:K288)</f>
        <v>50</v>
      </c>
      <c r="J288" s="98">
        <f>50</f>
        <v>50</v>
      </c>
      <c r="K288" s="98"/>
      <c r="L288" s="102">
        <f>SUM(M288:N288)</f>
        <v>50</v>
      </c>
      <c r="M288" s="99">
        <f>50</f>
        <v>50</v>
      </c>
      <c r="N288" s="99"/>
      <c r="O288" s="15"/>
      <c r="P288" s="15"/>
    </row>
    <row r="289" spans="1:16" s="11" customFormat="1" ht="27">
      <c r="A289" s="93" t="s">
        <v>591</v>
      </c>
      <c r="B289" s="186" t="s">
        <v>590</v>
      </c>
      <c r="C289" s="125" t="s">
        <v>355</v>
      </c>
      <c r="D289" s="33" t="s">
        <v>399</v>
      </c>
      <c r="E289" s="33" t="s">
        <v>219</v>
      </c>
      <c r="F289" s="55">
        <f>SUM(G289:H289)</f>
        <v>6140</v>
      </c>
      <c r="G289" s="56">
        <f>6140</f>
        <v>6140</v>
      </c>
      <c r="H289" s="56"/>
      <c r="I289" s="101">
        <f>SUM(J289:K289)</f>
        <v>6140</v>
      </c>
      <c r="J289" s="98">
        <f>6140</f>
        <v>6140</v>
      </c>
      <c r="K289" s="98"/>
      <c r="L289" s="102">
        <f>SUM(M289:N289)</f>
        <v>6140</v>
      </c>
      <c r="M289" s="99">
        <f>6140</f>
        <v>6140</v>
      </c>
      <c r="N289" s="99"/>
      <c r="O289" s="15"/>
      <c r="P289" s="15"/>
    </row>
    <row r="290" spans="1:16" s="11" customFormat="1" ht="41.25">
      <c r="A290" s="143" t="s">
        <v>593</v>
      </c>
      <c r="B290" s="193" t="s">
        <v>592</v>
      </c>
      <c r="C290" s="33" t="s">
        <v>238</v>
      </c>
      <c r="D290" s="33" t="s">
        <v>399</v>
      </c>
      <c r="E290" s="33" t="s">
        <v>219</v>
      </c>
      <c r="F290" s="46">
        <f aca="true" t="shared" si="33" ref="F290:F316">SUM(G290:H290)</f>
        <v>450</v>
      </c>
      <c r="G290" s="46"/>
      <c r="H290" s="46">
        <v>450</v>
      </c>
      <c r="I290" s="48">
        <f aca="true" t="shared" si="34" ref="I290:I316">SUM(J290:K290)</f>
        <v>450</v>
      </c>
      <c r="J290" s="48"/>
      <c r="K290" s="273">
        <v>450</v>
      </c>
      <c r="L290" s="39">
        <f aca="true" t="shared" si="35" ref="L290:L316">SUM(M290:N290)</f>
        <v>460</v>
      </c>
      <c r="M290" s="39"/>
      <c r="N290" s="39">
        <f>460</f>
        <v>460</v>
      </c>
      <c r="O290" s="15"/>
      <c r="P290" s="15"/>
    </row>
    <row r="291" spans="1:16" s="11" customFormat="1" ht="41.25">
      <c r="A291" s="143" t="s">
        <v>593</v>
      </c>
      <c r="B291" s="193" t="s">
        <v>592</v>
      </c>
      <c r="C291" s="33" t="s">
        <v>355</v>
      </c>
      <c r="D291" s="33" t="s">
        <v>399</v>
      </c>
      <c r="E291" s="33" t="s">
        <v>219</v>
      </c>
      <c r="F291" s="46">
        <f t="shared" si="33"/>
        <v>27321</v>
      </c>
      <c r="G291" s="46"/>
      <c r="H291" s="46">
        <v>27321</v>
      </c>
      <c r="I291" s="48">
        <f t="shared" si="34"/>
        <v>27736</v>
      </c>
      <c r="J291" s="48"/>
      <c r="K291" s="273">
        <v>27736</v>
      </c>
      <c r="L291" s="39">
        <f t="shared" si="35"/>
        <v>28853</v>
      </c>
      <c r="M291" s="39"/>
      <c r="N291" s="39">
        <f>28853</f>
        <v>28853</v>
      </c>
      <c r="O291" s="15"/>
      <c r="P291" s="15"/>
    </row>
    <row r="292" spans="1:16" s="11" customFormat="1" ht="54.75">
      <c r="A292" s="93" t="s">
        <v>595</v>
      </c>
      <c r="B292" s="193" t="s">
        <v>594</v>
      </c>
      <c r="C292" s="33" t="s">
        <v>238</v>
      </c>
      <c r="D292" s="33" t="s">
        <v>399</v>
      </c>
      <c r="E292" s="33" t="s">
        <v>219</v>
      </c>
      <c r="F292" s="46">
        <f t="shared" si="33"/>
        <v>420</v>
      </c>
      <c r="G292" s="51"/>
      <c r="H292" s="51">
        <v>420</v>
      </c>
      <c r="I292" s="48">
        <f t="shared" si="34"/>
        <v>430</v>
      </c>
      <c r="J292" s="52"/>
      <c r="K292" s="269">
        <v>430</v>
      </c>
      <c r="L292" s="39">
        <f t="shared" si="35"/>
        <v>450</v>
      </c>
      <c r="M292" s="53"/>
      <c r="N292" s="53">
        <f>450</f>
        <v>450</v>
      </c>
      <c r="O292" s="15"/>
      <c r="P292" s="15"/>
    </row>
    <row r="293" spans="1:16" s="11" customFormat="1" ht="148.5" customHeight="1">
      <c r="A293" s="93" t="s">
        <v>595</v>
      </c>
      <c r="B293" s="193" t="s">
        <v>594</v>
      </c>
      <c r="C293" s="33" t="s">
        <v>355</v>
      </c>
      <c r="D293" s="33" t="s">
        <v>399</v>
      </c>
      <c r="E293" s="33" t="s">
        <v>219</v>
      </c>
      <c r="F293" s="46">
        <f t="shared" si="33"/>
        <v>39214</v>
      </c>
      <c r="G293" s="51"/>
      <c r="H293" s="51">
        <v>39214</v>
      </c>
      <c r="I293" s="48">
        <f t="shared" si="34"/>
        <v>40792</v>
      </c>
      <c r="J293" s="52"/>
      <c r="K293" s="269">
        <v>40792</v>
      </c>
      <c r="L293" s="39">
        <f t="shared" si="35"/>
        <v>42421</v>
      </c>
      <c r="M293" s="53"/>
      <c r="N293" s="53">
        <f>42421</f>
        <v>42421</v>
      </c>
      <c r="O293" s="15"/>
      <c r="P293" s="15"/>
    </row>
    <row r="294" spans="1:16" s="11" customFormat="1" ht="153" customHeight="1">
      <c r="A294" s="93" t="s">
        <v>597</v>
      </c>
      <c r="B294" s="193" t="s">
        <v>596</v>
      </c>
      <c r="C294" s="33" t="s">
        <v>355</v>
      </c>
      <c r="D294" s="33" t="s">
        <v>399</v>
      </c>
      <c r="E294" s="33" t="s">
        <v>240</v>
      </c>
      <c r="F294" s="46">
        <f t="shared" si="33"/>
        <v>1043</v>
      </c>
      <c r="G294" s="51"/>
      <c r="H294" s="51">
        <v>1043</v>
      </c>
      <c r="I294" s="48">
        <f t="shared" si="34"/>
        <v>1085</v>
      </c>
      <c r="J294" s="52"/>
      <c r="K294" s="269">
        <v>1085</v>
      </c>
      <c r="L294" s="39">
        <f t="shared" si="35"/>
        <v>1128</v>
      </c>
      <c r="M294" s="53"/>
      <c r="N294" s="53">
        <f>1128</f>
        <v>1128</v>
      </c>
      <c r="O294" s="15"/>
      <c r="P294" s="15"/>
    </row>
    <row r="295" spans="1:16" s="11" customFormat="1" ht="149.25" customHeight="1">
      <c r="A295" s="93" t="s">
        <v>599</v>
      </c>
      <c r="B295" s="193" t="s">
        <v>598</v>
      </c>
      <c r="C295" s="33" t="s">
        <v>238</v>
      </c>
      <c r="D295" s="33" t="s">
        <v>399</v>
      </c>
      <c r="E295" s="33" t="s">
        <v>219</v>
      </c>
      <c r="F295" s="46">
        <f t="shared" si="33"/>
        <v>1</v>
      </c>
      <c r="G295" s="51"/>
      <c r="H295" s="51">
        <v>1</v>
      </c>
      <c r="I295" s="48">
        <f t="shared" si="34"/>
        <v>1</v>
      </c>
      <c r="J295" s="52"/>
      <c r="K295" s="269">
        <v>1</v>
      </c>
      <c r="L295" s="39">
        <f t="shared" si="35"/>
        <v>1</v>
      </c>
      <c r="M295" s="53"/>
      <c r="N295" s="53">
        <f>1</f>
        <v>1</v>
      </c>
      <c r="O295" s="15"/>
      <c r="P295" s="15"/>
    </row>
    <row r="296" spans="1:16" s="11" customFormat="1" ht="110.25">
      <c r="A296" s="93" t="s">
        <v>599</v>
      </c>
      <c r="B296" s="193" t="s">
        <v>598</v>
      </c>
      <c r="C296" s="33" t="s">
        <v>355</v>
      </c>
      <c r="D296" s="33" t="s">
        <v>399</v>
      </c>
      <c r="E296" s="33" t="s">
        <v>219</v>
      </c>
      <c r="F296" s="46">
        <f t="shared" si="33"/>
        <v>70</v>
      </c>
      <c r="G296" s="51"/>
      <c r="H296" s="51">
        <v>70</v>
      </c>
      <c r="I296" s="48">
        <f t="shared" si="34"/>
        <v>71</v>
      </c>
      <c r="J296" s="52"/>
      <c r="K296" s="269">
        <v>71</v>
      </c>
      <c r="L296" s="39">
        <f t="shared" si="35"/>
        <v>74</v>
      </c>
      <c r="M296" s="53"/>
      <c r="N296" s="53">
        <f>74</f>
        <v>74</v>
      </c>
      <c r="O296" s="15"/>
      <c r="P296" s="15"/>
    </row>
    <row r="297" spans="1:16" s="11" customFormat="1" ht="123.75">
      <c r="A297" s="150" t="s">
        <v>601</v>
      </c>
      <c r="B297" s="193" t="s">
        <v>600</v>
      </c>
      <c r="C297" s="33" t="s">
        <v>238</v>
      </c>
      <c r="D297" s="33" t="s">
        <v>399</v>
      </c>
      <c r="E297" s="33" t="s">
        <v>219</v>
      </c>
      <c r="F297" s="46">
        <f t="shared" si="33"/>
        <v>10</v>
      </c>
      <c r="G297" s="51"/>
      <c r="H297" s="51">
        <v>10</v>
      </c>
      <c r="I297" s="48">
        <f t="shared" si="34"/>
        <v>10</v>
      </c>
      <c r="J297" s="52"/>
      <c r="K297" s="269">
        <v>10</v>
      </c>
      <c r="L297" s="39">
        <f t="shared" si="35"/>
        <v>20</v>
      </c>
      <c r="M297" s="53"/>
      <c r="N297" s="53">
        <f>20</f>
        <v>20</v>
      </c>
      <c r="O297" s="15"/>
      <c r="P297" s="15"/>
    </row>
    <row r="298" spans="1:16" s="11" customFormat="1" ht="123.75">
      <c r="A298" s="150" t="s">
        <v>601</v>
      </c>
      <c r="B298" s="193" t="s">
        <v>600</v>
      </c>
      <c r="C298" s="33" t="s">
        <v>355</v>
      </c>
      <c r="D298" s="33" t="s">
        <v>399</v>
      </c>
      <c r="E298" s="33" t="s">
        <v>219</v>
      </c>
      <c r="F298" s="46">
        <f t="shared" si="33"/>
        <v>86228</v>
      </c>
      <c r="G298" s="51"/>
      <c r="H298" s="51">
        <v>86228</v>
      </c>
      <c r="I298" s="48">
        <f t="shared" si="34"/>
        <v>89656</v>
      </c>
      <c r="J298" s="52"/>
      <c r="K298" s="269">
        <v>89656</v>
      </c>
      <c r="L298" s="39">
        <f t="shared" si="35"/>
        <v>93233</v>
      </c>
      <c r="M298" s="53"/>
      <c r="N298" s="53">
        <f>93233</f>
        <v>93233</v>
      </c>
      <c r="O298" s="15"/>
      <c r="P298" s="15"/>
    </row>
    <row r="299" spans="1:16" s="11" customFormat="1" ht="110.25">
      <c r="A299" s="150" t="s">
        <v>99</v>
      </c>
      <c r="B299" s="193" t="s">
        <v>602</v>
      </c>
      <c r="C299" s="33" t="s">
        <v>238</v>
      </c>
      <c r="D299" s="33" t="s">
        <v>399</v>
      </c>
      <c r="E299" s="33" t="s">
        <v>219</v>
      </c>
      <c r="F299" s="46">
        <f t="shared" si="33"/>
        <v>4</v>
      </c>
      <c r="G299" s="51"/>
      <c r="H299" s="51">
        <v>4</v>
      </c>
      <c r="I299" s="48">
        <f t="shared" si="34"/>
        <v>4</v>
      </c>
      <c r="J299" s="52"/>
      <c r="K299" s="269">
        <v>4</v>
      </c>
      <c r="L299" s="39">
        <f t="shared" si="35"/>
        <v>10</v>
      </c>
      <c r="M299" s="53"/>
      <c r="N299" s="53">
        <f>10</f>
        <v>10</v>
      </c>
      <c r="O299" s="15"/>
      <c r="P299" s="15"/>
    </row>
    <row r="300" spans="1:16" s="11" customFormat="1" ht="110.25">
      <c r="A300" s="150" t="s">
        <v>99</v>
      </c>
      <c r="B300" s="193" t="s">
        <v>602</v>
      </c>
      <c r="C300" s="33" t="s">
        <v>355</v>
      </c>
      <c r="D300" s="33" t="s">
        <v>399</v>
      </c>
      <c r="E300" s="33" t="s">
        <v>219</v>
      </c>
      <c r="F300" s="46">
        <f t="shared" si="33"/>
        <v>9486</v>
      </c>
      <c r="G300" s="51"/>
      <c r="H300" s="51">
        <v>9486</v>
      </c>
      <c r="I300" s="48">
        <f t="shared" si="34"/>
        <v>9860</v>
      </c>
      <c r="J300" s="52"/>
      <c r="K300" s="269">
        <v>9860</v>
      </c>
      <c r="L300" s="39">
        <f t="shared" si="35"/>
        <v>10250</v>
      </c>
      <c r="M300" s="53"/>
      <c r="N300" s="53">
        <f>10250</f>
        <v>10250</v>
      </c>
      <c r="O300" s="15"/>
      <c r="P300" s="15"/>
    </row>
    <row r="301" spans="1:16" s="11" customFormat="1" ht="82.5">
      <c r="A301" s="93" t="s">
        <v>604</v>
      </c>
      <c r="B301" s="193" t="s">
        <v>603</v>
      </c>
      <c r="C301" s="33" t="s">
        <v>238</v>
      </c>
      <c r="D301" s="33" t="s">
        <v>399</v>
      </c>
      <c r="E301" s="33" t="s">
        <v>240</v>
      </c>
      <c r="F301" s="46">
        <f t="shared" si="33"/>
        <v>0</v>
      </c>
      <c r="G301" s="51"/>
      <c r="H301" s="51"/>
      <c r="I301" s="48">
        <f t="shared" si="34"/>
        <v>176</v>
      </c>
      <c r="J301" s="52"/>
      <c r="K301" s="269">
        <v>176</v>
      </c>
      <c r="L301" s="39">
        <f t="shared" si="35"/>
        <v>0</v>
      </c>
      <c r="M301" s="53"/>
      <c r="N301" s="53"/>
      <c r="O301" s="15"/>
      <c r="P301" s="15"/>
    </row>
    <row r="302" spans="1:16" s="11" customFormat="1" ht="82.5">
      <c r="A302" s="93" t="s">
        <v>604</v>
      </c>
      <c r="B302" s="193" t="s">
        <v>603</v>
      </c>
      <c r="C302" s="33" t="s">
        <v>355</v>
      </c>
      <c r="D302" s="33" t="s">
        <v>399</v>
      </c>
      <c r="E302" s="33" t="s">
        <v>240</v>
      </c>
      <c r="F302" s="46">
        <f t="shared" si="33"/>
        <v>468</v>
      </c>
      <c r="G302" s="51"/>
      <c r="H302" s="51">
        <v>468</v>
      </c>
      <c r="I302" s="48">
        <f t="shared" si="34"/>
        <v>468</v>
      </c>
      <c r="J302" s="52"/>
      <c r="K302" s="269">
        <v>468</v>
      </c>
      <c r="L302" s="39">
        <f t="shared" si="35"/>
        <v>670</v>
      </c>
      <c r="M302" s="53"/>
      <c r="N302" s="53">
        <f>670</f>
        <v>670</v>
      </c>
      <c r="O302" s="15"/>
      <c r="P302" s="15"/>
    </row>
    <row r="303" spans="1:16" s="11" customFormat="1" ht="41.25">
      <c r="A303" s="93" t="s">
        <v>606</v>
      </c>
      <c r="B303" s="193" t="s">
        <v>605</v>
      </c>
      <c r="C303" s="33" t="s">
        <v>238</v>
      </c>
      <c r="D303" s="33" t="s">
        <v>399</v>
      </c>
      <c r="E303" s="33" t="s">
        <v>219</v>
      </c>
      <c r="F303" s="46">
        <f t="shared" si="33"/>
        <v>44</v>
      </c>
      <c r="G303" s="51"/>
      <c r="H303" s="51">
        <v>44</v>
      </c>
      <c r="I303" s="48">
        <f t="shared" si="34"/>
        <v>46</v>
      </c>
      <c r="J303" s="52"/>
      <c r="K303" s="269">
        <v>46</v>
      </c>
      <c r="L303" s="39">
        <f t="shared" si="35"/>
        <v>50</v>
      </c>
      <c r="M303" s="53"/>
      <c r="N303" s="53">
        <f>50</f>
        <v>50</v>
      </c>
      <c r="O303" s="15"/>
      <c r="P303" s="15"/>
    </row>
    <row r="304" spans="1:16" s="11" customFormat="1" ht="41.25">
      <c r="A304" s="93" t="s">
        <v>606</v>
      </c>
      <c r="B304" s="193" t="s">
        <v>605</v>
      </c>
      <c r="C304" s="33" t="s">
        <v>355</v>
      </c>
      <c r="D304" s="33" t="s">
        <v>399</v>
      </c>
      <c r="E304" s="33" t="s">
        <v>219</v>
      </c>
      <c r="F304" s="46">
        <f t="shared" si="33"/>
        <v>5278</v>
      </c>
      <c r="G304" s="51"/>
      <c r="H304" s="51">
        <v>5278</v>
      </c>
      <c r="I304" s="48">
        <f t="shared" si="34"/>
        <v>5487</v>
      </c>
      <c r="J304" s="52"/>
      <c r="K304" s="269">
        <v>5487</v>
      </c>
      <c r="L304" s="39">
        <f t="shared" si="35"/>
        <v>5704</v>
      </c>
      <c r="M304" s="53"/>
      <c r="N304" s="53">
        <f>5704</f>
        <v>5704</v>
      </c>
      <c r="O304" s="15"/>
      <c r="P304" s="15"/>
    </row>
    <row r="305" spans="1:16" s="11" customFormat="1" ht="41.25">
      <c r="A305" s="93" t="s">
        <v>608</v>
      </c>
      <c r="B305" s="193" t="s">
        <v>607</v>
      </c>
      <c r="C305" s="33" t="s">
        <v>238</v>
      </c>
      <c r="D305" s="33" t="s">
        <v>399</v>
      </c>
      <c r="E305" s="33" t="s">
        <v>219</v>
      </c>
      <c r="F305" s="46">
        <f t="shared" si="33"/>
        <v>15</v>
      </c>
      <c r="G305" s="51"/>
      <c r="H305" s="51">
        <v>15</v>
      </c>
      <c r="I305" s="48">
        <f t="shared" si="34"/>
        <v>15</v>
      </c>
      <c r="J305" s="52"/>
      <c r="K305" s="269">
        <v>15</v>
      </c>
      <c r="L305" s="39">
        <f t="shared" si="35"/>
        <v>15</v>
      </c>
      <c r="M305" s="53"/>
      <c r="N305" s="53">
        <f>15</f>
        <v>15</v>
      </c>
      <c r="O305" s="15"/>
      <c r="P305" s="15"/>
    </row>
    <row r="306" spans="1:16" s="11" customFormat="1" ht="41.25">
      <c r="A306" s="93" t="s">
        <v>608</v>
      </c>
      <c r="B306" s="193" t="s">
        <v>607</v>
      </c>
      <c r="C306" s="33" t="s">
        <v>355</v>
      </c>
      <c r="D306" s="33" t="s">
        <v>399</v>
      </c>
      <c r="E306" s="33" t="s">
        <v>219</v>
      </c>
      <c r="F306" s="46">
        <f t="shared" si="33"/>
        <v>2315</v>
      </c>
      <c r="G306" s="51"/>
      <c r="H306" s="51">
        <v>2315</v>
      </c>
      <c r="I306" s="48">
        <f t="shared" si="34"/>
        <v>2481</v>
      </c>
      <c r="J306" s="52"/>
      <c r="K306" s="269">
        <v>2481</v>
      </c>
      <c r="L306" s="39">
        <f t="shared" si="35"/>
        <v>2581</v>
      </c>
      <c r="M306" s="53"/>
      <c r="N306" s="53">
        <f>2581</f>
        <v>2581</v>
      </c>
      <c r="O306" s="15"/>
      <c r="P306" s="15"/>
    </row>
    <row r="307" spans="1:16" s="11" customFormat="1" ht="55.5" customHeight="1">
      <c r="A307" s="93" t="s">
        <v>610</v>
      </c>
      <c r="B307" s="193" t="s">
        <v>609</v>
      </c>
      <c r="C307" s="33" t="s">
        <v>238</v>
      </c>
      <c r="D307" s="33" t="s">
        <v>399</v>
      </c>
      <c r="E307" s="33" t="s">
        <v>219</v>
      </c>
      <c r="F307" s="46">
        <f t="shared" si="33"/>
        <v>10</v>
      </c>
      <c r="G307" s="51"/>
      <c r="H307" s="51">
        <v>10</v>
      </c>
      <c r="I307" s="48">
        <f t="shared" si="34"/>
        <v>10</v>
      </c>
      <c r="J307" s="52"/>
      <c r="K307" s="269">
        <v>10</v>
      </c>
      <c r="L307" s="39">
        <f t="shared" si="35"/>
        <v>10</v>
      </c>
      <c r="M307" s="53"/>
      <c r="N307" s="53">
        <f>10</f>
        <v>10</v>
      </c>
      <c r="O307" s="15"/>
      <c r="P307" s="15"/>
    </row>
    <row r="308" spans="1:16" s="11" customFormat="1" ht="60" customHeight="1">
      <c r="A308" s="93" t="s">
        <v>610</v>
      </c>
      <c r="B308" s="193" t="s">
        <v>609</v>
      </c>
      <c r="C308" s="33" t="s">
        <v>355</v>
      </c>
      <c r="D308" s="33" t="s">
        <v>399</v>
      </c>
      <c r="E308" s="33" t="s">
        <v>219</v>
      </c>
      <c r="F308" s="46">
        <f t="shared" si="33"/>
        <v>1816</v>
      </c>
      <c r="G308" s="51"/>
      <c r="H308" s="51">
        <v>1816</v>
      </c>
      <c r="I308" s="48">
        <f t="shared" si="34"/>
        <v>1893</v>
      </c>
      <c r="J308" s="52"/>
      <c r="K308" s="269">
        <v>1893</v>
      </c>
      <c r="L308" s="39">
        <f t="shared" si="35"/>
        <v>1969</v>
      </c>
      <c r="M308" s="53"/>
      <c r="N308" s="53">
        <f>1969</f>
        <v>1969</v>
      </c>
      <c r="O308" s="15"/>
      <c r="P308" s="15"/>
    </row>
    <row r="309" spans="1:16" s="11" customFormat="1" ht="123.75">
      <c r="A309" s="93" t="s">
        <v>787</v>
      </c>
      <c r="B309" s="193" t="s">
        <v>611</v>
      </c>
      <c r="C309" s="33" t="s">
        <v>238</v>
      </c>
      <c r="D309" s="33" t="s">
        <v>399</v>
      </c>
      <c r="E309" s="33" t="s">
        <v>219</v>
      </c>
      <c r="F309" s="46">
        <f t="shared" si="33"/>
        <v>16</v>
      </c>
      <c r="G309" s="51"/>
      <c r="H309" s="51">
        <v>16</v>
      </c>
      <c r="I309" s="48">
        <f t="shared" si="34"/>
        <v>17</v>
      </c>
      <c r="J309" s="52"/>
      <c r="K309" s="269">
        <v>17</v>
      </c>
      <c r="L309" s="39">
        <f t="shared" si="35"/>
        <v>17</v>
      </c>
      <c r="M309" s="53"/>
      <c r="N309" s="53">
        <f>17</f>
        <v>17</v>
      </c>
      <c r="O309" s="15"/>
      <c r="P309" s="15"/>
    </row>
    <row r="310" spans="1:16" s="11" customFormat="1" ht="123.75">
      <c r="A310" s="93" t="s">
        <v>787</v>
      </c>
      <c r="B310" s="193" t="s">
        <v>611</v>
      </c>
      <c r="C310" s="33" t="s">
        <v>355</v>
      </c>
      <c r="D310" s="33" t="s">
        <v>399</v>
      </c>
      <c r="E310" s="33" t="s">
        <v>219</v>
      </c>
      <c r="F310" s="46">
        <f t="shared" si="33"/>
        <v>1604</v>
      </c>
      <c r="G310" s="51"/>
      <c r="H310" s="51">
        <v>1604</v>
      </c>
      <c r="I310" s="48">
        <f t="shared" si="34"/>
        <v>1664</v>
      </c>
      <c r="J310" s="52"/>
      <c r="K310" s="269">
        <v>1664</v>
      </c>
      <c r="L310" s="39">
        <f t="shared" si="35"/>
        <v>1731</v>
      </c>
      <c r="M310" s="53"/>
      <c r="N310" s="53">
        <f>1731</f>
        <v>1731</v>
      </c>
      <c r="O310" s="15"/>
      <c r="P310" s="15"/>
    </row>
    <row r="311" spans="1:16" s="11" customFormat="1" ht="41.25">
      <c r="A311" s="93" t="s">
        <v>789</v>
      </c>
      <c r="B311" s="193" t="s">
        <v>788</v>
      </c>
      <c r="C311" s="33" t="s">
        <v>238</v>
      </c>
      <c r="D311" s="33" t="s">
        <v>399</v>
      </c>
      <c r="E311" s="33" t="s">
        <v>219</v>
      </c>
      <c r="F311" s="46">
        <f t="shared" si="33"/>
        <v>1600</v>
      </c>
      <c r="G311" s="51"/>
      <c r="H311" s="51">
        <v>1600</v>
      </c>
      <c r="I311" s="48">
        <f t="shared" si="34"/>
        <v>1700</v>
      </c>
      <c r="J311" s="52"/>
      <c r="K311" s="269">
        <v>1700</v>
      </c>
      <c r="L311" s="39">
        <f t="shared" si="35"/>
        <v>1800</v>
      </c>
      <c r="M311" s="53"/>
      <c r="N311" s="53">
        <f>1800</f>
        <v>1800</v>
      </c>
      <c r="O311" s="15"/>
      <c r="P311" s="15"/>
    </row>
    <row r="312" spans="1:16" s="11" customFormat="1" ht="41.25">
      <c r="A312" s="93" t="s">
        <v>789</v>
      </c>
      <c r="B312" s="193" t="s">
        <v>788</v>
      </c>
      <c r="C312" s="33" t="s">
        <v>355</v>
      </c>
      <c r="D312" s="33" t="s">
        <v>399</v>
      </c>
      <c r="E312" s="33" t="s">
        <v>219</v>
      </c>
      <c r="F312" s="46">
        <f t="shared" si="33"/>
        <v>163398</v>
      </c>
      <c r="G312" s="51"/>
      <c r="H312" s="51">
        <v>163398</v>
      </c>
      <c r="I312" s="48">
        <f t="shared" si="34"/>
        <v>169623</v>
      </c>
      <c r="J312" s="52"/>
      <c r="K312" s="269">
        <v>169623</v>
      </c>
      <c r="L312" s="39">
        <f t="shared" si="35"/>
        <v>176376</v>
      </c>
      <c r="M312" s="53"/>
      <c r="N312" s="53">
        <f>176376</f>
        <v>176376</v>
      </c>
      <c r="O312" s="15"/>
      <c r="P312" s="15"/>
    </row>
    <row r="313" spans="1:16" s="11" customFormat="1" ht="27">
      <c r="A313" s="93" t="s">
        <v>791</v>
      </c>
      <c r="B313" s="193" t="s">
        <v>790</v>
      </c>
      <c r="C313" s="33" t="s">
        <v>238</v>
      </c>
      <c r="D313" s="33" t="s">
        <v>399</v>
      </c>
      <c r="E313" s="33" t="s">
        <v>219</v>
      </c>
      <c r="F313" s="46">
        <f t="shared" si="33"/>
        <v>7</v>
      </c>
      <c r="G313" s="51"/>
      <c r="H313" s="51">
        <v>7</v>
      </c>
      <c r="I313" s="48">
        <f t="shared" si="34"/>
        <v>7</v>
      </c>
      <c r="J313" s="52"/>
      <c r="K313" s="269">
        <v>7</v>
      </c>
      <c r="L313" s="39">
        <f t="shared" si="35"/>
        <v>10</v>
      </c>
      <c r="M313" s="53"/>
      <c r="N313" s="53">
        <f>10</f>
        <v>10</v>
      </c>
      <c r="O313" s="15"/>
      <c r="P313" s="15"/>
    </row>
    <row r="314" spans="1:16" s="11" customFormat="1" ht="27">
      <c r="A314" s="93" t="s">
        <v>791</v>
      </c>
      <c r="B314" s="193" t="s">
        <v>790</v>
      </c>
      <c r="C314" s="33" t="s">
        <v>355</v>
      </c>
      <c r="D314" s="33" t="s">
        <v>399</v>
      </c>
      <c r="E314" s="33" t="s">
        <v>219</v>
      </c>
      <c r="F314" s="46">
        <f t="shared" si="33"/>
        <v>617</v>
      </c>
      <c r="G314" s="51"/>
      <c r="H314" s="51">
        <v>617</v>
      </c>
      <c r="I314" s="48">
        <f t="shared" si="34"/>
        <v>789</v>
      </c>
      <c r="J314" s="52"/>
      <c r="K314" s="269">
        <v>789</v>
      </c>
      <c r="L314" s="39">
        <f t="shared" si="35"/>
        <v>818</v>
      </c>
      <c r="M314" s="53"/>
      <c r="N314" s="53">
        <f>818</f>
        <v>818</v>
      </c>
      <c r="O314" s="15"/>
      <c r="P314" s="15"/>
    </row>
    <row r="315" spans="1:16" s="11" customFormat="1" ht="41.25">
      <c r="A315" s="93" t="s">
        <v>793</v>
      </c>
      <c r="B315" s="193" t="s">
        <v>792</v>
      </c>
      <c r="C315" s="33" t="s">
        <v>238</v>
      </c>
      <c r="D315" s="33" t="s">
        <v>399</v>
      </c>
      <c r="E315" s="33" t="s">
        <v>219</v>
      </c>
      <c r="F315" s="46">
        <f t="shared" si="33"/>
        <v>16</v>
      </c>
      <c r="G315" s="51"/>
      <c r="H315" s="51">
        <v>16</v>
      </c>
      <c r="I315" s="48">
        <f t="shared" si="34"/>
        <v>16</v>
      </c>
      <c r="J315" s="52"/>
      <c r="K315" s="269">
        <v>16</v>
      </c>
      <c r="L315" s="39">
        <f t="shared" si="35"/>
        <v>17</v>
      </c>
      <c r="M315" s="53"/>
      <c r="N315" s="53">
        <f>17</f>
        <v>17</v>
      </c>
      <c r="O315" s="15"/>
      <c r="P315" s="15"/>
    </row>
    <row r="316" spans="1:16" s="11" customFormat="1" ht="41.25">
      <c r="A316" s="93" t="s">
        <v>793</v>
      </c>
      <c r="B316" s="193" t="s">
        <v>792</v>
      </c>
      <c r="C316" s="33" t="s">
        <v>355</v>
      </c>
      <c r="D316" s="33" t="s">
        <v>399</v>
      </c>
      <c r="E316" s="33" t="s">
        <v>219</v>
      </c>
      <c r="F316" s="46">
        <f t="shared" si="33"/>
        <v>1650</v>
      </c>
      <c r="G316" s="51"/>
      <c r="H316" s="51">
        <v>1650</v>
      </c>
      <c r="I316" s="48">
        <f t="shared" si="34"/>
        <v>1717</v>
      </c>
      <c r="J316" s="52"/>
      <c r="K316" s="269">
        <v>1717</v>
      </c>
      <c r="L316" s="39">
        <f t="shared" si="35"/>
        <v>1785</v>
      </c>
      <c r="M316" s="53"/>
      <c r="N316" s="53">
        <f>1785</f>
        <v>1785</v>
      </c>
      <c r="O316" s="15"/>
      <c r="P316" s="15"/>
    </row>
    <row r="317" spans="1:16" s="11" customFormat="1" ht="41.25">
      <c r="A317" s="93" t="s">
        <v>795</v>
      </c>
      <c r="B317" s="193" t="s">
        <v>794</v>
      </c>
      <c r="C317" s="33" t="s">
        <v>238</v>
      </c>
      <c r="D317" s="33" t="s">
        <v>399</v>
      </c>
      <c r="E317" s="33" t="s">
        <v>219</v>
      </c>
      <c r="F317" s="46">
        <f>SUM(G317:H317)</f>
        <v>1</v>
      </c>
      <c r="G317" s="51"/>
      <c r="H317" s="51">
        <v>1</v>
      </c>
      <c r="I317" s="48">
        <f>SUM(J317:K317)</f>
        <v>1</v>
      </c>
      <c r="J317" s="52"/>
      <c r="K317" s="269">
        <v>1</v>
      </c>
      <c r="L317" s="39">
        <f>SUM(M317:N317)</f>
        <v>1</v>
      </c>
      <c r="M317" s="53"/>
      <c r="N317" s="53">
        <f>1</f>
        <v>1</v>
      </c>
      <c r="O317" s="15"/>
      <c r="P317" s="15"/>
    </row>
    <row r="318" spans="1:16" s="11" customFormat="1" ht="41.25">
      <c r="A318" s="93" t="s">
        <v>795</v>
      </c>
      <c r="B318" s="193" t="s">
        <v>794</v>
      </c>
      <c r="C318" s="33" t="s">
        <v>355</v>
      </c>
      <c r="D318" s="33" t="s">
        <v>399</v>
      </c>
      <c r="E318" s="33" t="s">
        <v>219</v>
      </c>
      <c r="F318" s="46">
        <f>SUM(G318:H318)</f>
        <v>9</v>
      </c>
      <c r="G318" s="51"/>
      <c r="H318" s="51">
        <v>9</v>
      </c>
      <c r="I318" s="48">
        <f>SUM(J318:K318)</f>
        <v>10</v>
      </c>
      <c r="J318" s="52"/>
      <c r="K318" s="269">
        <v>10</v>
      </c>
      <c r="L318" s="39">
        <f>SUM(M318:N318)</f>
        <v>10</v>
      </c>
      <c r="M318" s="53"/>
      <c r="N318" s="53">
        <f>10</f>
        <v>10</v>
      </c>
      <c r="O318" s="15"/>
      <c r="P318" s="15"/>
    </row>
    <row r="319" spans="1:16" s="11" customFormat="1" ht="54.75">
      <c r="A319" s="93" t="s">
        <v>797</v>
      </c>
      <c r="B319" s="193" t="s">
        <v>796</v>
      </c>
      <c r="C319" s="33" t="s">
        <v>238</v>
      </c>
      <c r="D319" s="33" t="s">
        <v>399</v>
      </c>
      <c r="E319" s="33" t="s">
        <v>219</v>
      </c>
      <c r="F319" s="46">
        <f aca="true" t="shared" si="36" ref="F319:F336">SUM(G319:H319)</f>
        <v>250</v>
      </c>
      <c r="G319" s="51"/>
      <c r="H319" s="51">
        <v>250</v>
      </c>
      <c r="I319" s="48">
        <f aca="true" t="shared" si="37" ref="I319:I336">SUM(J319:K319)</f>
        <v>250</v>
      </c>
      <c r="J319" s="52"/>
      <c r="K319" s="269">
        <v>250</v>
      </c>
      <c r="L319" s="39">
        <f aca="true" t="shared" si="38" ref="L319:L336">SUM(M319:N319)</f>
        <v>260</v>
      </c>
      <c r="M319" s="53"/>
      <c r="N319" s="53">
        <f>260</f>
        <v>260</v>
      </c>
      <c r="O319" s="15"/>
      <c r="P319" s="15"/>
    </row>
    <row r="320" spans="1:16" s="11" customFormat="1" ht="54.75">
      <c r="A320" s="93" t="s">
        <v>797</v>
      </c>
      <c r="B320" s="193" t="s">
        <v>796</v>
      </c>
      <c r="C320" s="33" t="s">
        <v>355</v>
      </c>
      <c r="D320" s="33" t="s">
        <v>399</v>
      </c>
      <c r="E320" s="33" t="s">
        <v>219</v>
      </c>
      <c r="F320" s="46">
        <f t="shared" si="36"/>
        <v>25933</v>
      </c>
      <c r="G320" s="51"/>
      <c r="H320" s="51">
        <v>25933</v>
      </c>
      <c r="I320" s="48">
        <f t="shared" si="37"/>
        <v>26455</v>
      </c>
      <c r="J320" s="52"/>
      <c r="K320" s="269">
        <v>26455</v>
      </c>
      <c r="L320" s="39">
        <f t="shared" si="38"/>
        <v>27513</v>
      </c>
      <c r="M320" s="53"/>
      <c r="N320" s="53">
        <f>27513</f>
        <v>27513</v>
      </c>
      <c r="O320" s="15"/>
      <c r="P320" s="15"/>
    </row>
    <row r="321" spans="1:16" s="11" customFormat="1" ht="42.75" customHeight="1">
      <c r="A321" s="93" t="s">
        <v>799</v>
      </c>
      <c r="B321" s="193" t="s">
        <v>798</v>
      </c>
      <c r="C321" s="33" t="s">
        <v>238</v>
      </c>
      <c r="D321" s="33" t="s">
        <v>399</v>
      </c>
      <c r="E321" s="33" t="s">
        <v>219</v>
      </c>
      <c r="F321" s="46">
        <f t="shared" si="36"/>
        <v>25</v>
      </c>
      <c r="G321" s="51"/>
      <c r="H321" s="51">
        <v>25</v>
      </c>
      <c r="I321" s="48">
        <f t="shared" si="37"/>
        <v>30</v>
      </c>
      <c r="J321" s="52"/>
      <c r="K321" s="269">
        <v>30</v>
      </c>
      <c r="L321" s="39">
        <f t="shared" si="38"/>
        <v>40</v>
      </c>
      <c r="M321" s="53"/>
      <c r="N321" s="53">
        <f>40</f>
        <v>40</v>
      </c>
      <c r="O321" s="15"/>
      <c r="P321" s="15"/>
    </row>
    <row r="322" spans="1:16" s="11" customFormat="1" ht="41.25">
      <c r="A322" s="93" t="s">
        <v>799</v>
      </c>
      <c r="B322" s="193" t="s">
        <v>798</v>
      </c>
      <c r="C322" s="33" t="s">
        <v>355</v>
      </c>
      <c r="D322" s="33" t="s">
        <v>399</v>
      </c>
      <c r="E322" s="33" t="s">
        <v>219</v>
      </c>
      <c r="F322" s="46">
        <f t="shared" si="36"/>
        <v>1560</v>
      </c>
      <c r="G322" s="51"/>
      <c r="H322" s="51">
        <v>1560</v>
      </c>
      <c r="I322" s="48">
        <f t="shared" si="37"/>
        <v>1618</v>
      </c>
      <c r="J322" s="52"/>
      <c r="K322" s="269">
        <v>1618</v>
      </c>
      <c r="L322" s="39">
        <f t="shared" si="38"/>
        <v>1674</v>
      </c>
      <c r="M322" s="53"/>
      <c r="N322" s="53">
        <f>1674</f>
        <v>1674</v>
      </c>
      <c r="O322" s="15"/>
      <c r="P322" s="15"/>
    </row>
    <row r="323" spans="1:16" s="11" customFormat="1" ht="41.25">
      <c r="A323" s="93" t="s">
        <v>801</v>
      </c>
      <c r="B323" s="193" t="s">
        <v>800</v>
      </c>
      <c r="C323" s="33" t="s">
        <v>238</v>
      </c>
      <c r="D323" s="33" t="s">
        <v>399</v>
      </c>
      <c r="E323" s="33" t="s">
        <v>219</v>
      </c>
      <c r="F323" s="46">
        <f t="shared" si="36"/>
        <v>460</v>
      </c>
      <c r="G323" s="51"/>
      <c r="H323" s="51">
        <v>460</v>
      </c>
      <c r="I323" s="48">
        <f t="shared" si="37"/>
        <v>450</v>
      </c>
      <c r="J323" s="52"/>
      <c r="K323" s="269">
        <v>450</v>
      </c>
      <c r="L323" s="39">
        <f t="shared" si="38"/>
        <v>497</v>
      </c>
      <c r="M323" s="53"/>
      <c r="N323" s="53">
        <f>497</f>
        <v>497</v>
      </c>
      <c r="O323" s="15"/>
      <c r="P323" s="15"/>
    </row>
    <row r="324" spans="1:16" s="11" customFormat="1" ht="41.25">
      <c r="A324" s="93" t="s">
        <v>801</v>
      </c>
      <c r="B324" s="193" t="s">
        <v>800</v>
      </c>
      <c r="C324" s="33" t="s">
        <v>355</v>
      </c>
      <c r="D324" s="33" t="s">
        <v>399</v>
      </c>
      <c r="E324" s="33" t="s">
        <v>219</v>
      </c>
      <c r="F324" s="46">
        <f t="shared" si="36"/>
        <v>53438</v>
      </c>
      <c r="G324" s="51"/>
      <c r="H324" s="51">
        <v>53438</v>
      </c>
      <c r="I324" s="48">
        <f t="shared" si="37"/>
        <v>56601</v>
      </c>
      <c r="J324" s="52"/>
      <c r="K324" s="269">
        <v>56601</v>
      </c>
      <c r="L324" s="39">
        <f t="shared" si="38"/>
        <v>58837</v>
      </c>
      <c r="M324" s="53"/>
      <c r="N324" s="53">
        <f>58837</f>
        <v>58837</v>
      </c>
      <c r="O324" s="15"/>
      <c r="P324" s="15"/>
    </row>
    <row r="325" spans="1:16" s="11" customFormat="1" ht="41.25">
      <c r="A325" s="93" t="s">
        <v>803</v>
      </c>
      <c r="B325" s="193" t="s">
        <v>802</v>
      </c>
      <c r="C325" s="33" t="s">
        <v>355</v>
      </c>
      <c r="D325" s="33" t="s">
        <v>399</v>
      </c>
      <c r="E325" s="33" t="s">
        <v>240</v>
      </c>
      <c r="F325" s="46">
        <f t="shared" si="36"/>
        <v>25199</v>
      </c>
      <c r="G325" s="51"/>
      <c r="H325" s="51">
        <v>25199</v>
      </c>
      <c r="I325" s="48">
        <f t="shared" si="37"/>
        <v>23254</v>
      </c>
      <c r="J325" s="52"/>
      <c r="K325" s="269">
        <v>23254</v>
      </c>
      <c r="L325" s="39">
        <f t="shared" si="38"/>
        <v>24184</v>
      </c>
      <c r="M325" s="53"/>
      <c r="N325" s="53">
        <f>24184</f>
        <v>24184</v>
      </c>
      <c r="O325" s="15"/>
      <c r="P325" s="15"/>
    </row>
    <row r="326" spans="1:16" s="11" customFormat="1" ht="54.75">
      <c r="A326" s="93" t="s">
        <v>805</v>
      </c>
      <c r="B326" s="193" t="s">
        <v>804</v>
      </c>
      <c r="C326" s="33" t="s">
        <v>355</v>
      </c>
      <c r="D326" s="33" t="s">
        <v>399</v>
      </c>
      <c r="E326" s="33" t="s">
        <v>240</v>
      </c>
      <c r="F326" s="46">
        <f t="shared" si="36"/>
        <v>38729</v>
      </c>
      <c r="G326" s="51"/>
      <c r="H326" s="51">
        <v>38729</v>
      </c>
      <c r="I326" s="48">
        <f t="shared" si="37"/>
        <v>41344</v>
      </c>
      <c r="J326" s="52"/>
      <c r="K326" s="269">
        <v>41344</v>
      </c>
      <c r="L326" s="39">
        <f t="shared" si="38"/>
        <v>42997</v>
      </c>
      <c r="M326" s="53"/>
      <c r="N326" s="53">
        <f>42997</f>
        <v>42997</v>
      </c>
      <c r="O326" s="15"/>
      <c r="P326" s="15"/>
    </row>
    <row r="327" spans="1:15" s="236" customFormat="1" ht="41.25">
      <c r="A327" s="93" t="s">
        <v>807</v>
      </c>
      <c r="B327" s="193" t="s">
        <v>806</v>
      </c>
      <c r="C327" s="33" t="s">
        <v>238</v>
      </c>
      <c r="D327" s="33" t="s">
        <v>399</v>
      </c>
      <c r="E327" s="33" t="s">
        <v>219</v>
      </c>
      <c r="F327" s="46">
        <f t="shared" si="36"/>
        <v>2</v>
      </c>
      <c r="G327" s="51"/>
      <c r="H327" s="51">
        <v>2</v>
      </c>
      <c r="I327" s="48">
        <f t="shared" si="37"/>
        <v>2</v>
      </c>
      <c r="J327" s="52"/>
      <c r="K327" s="269">
        <v>2</v>
      </c>
      <c r="L327" s="39">
        <f t="shared" si="38"/>
        <v>4</v>
      </c>
      <c r="M327" s="53"/>
      <c r="N327" s="53">
        <f>4</f>
        <v>4</v>
      </c>
      <c r="O327" s="11"/>
    </row>
    <row r="328" spans="1:16" s="11" customFormat="1" ht="41.25">
      <c r="A328" s="93" t="s">
        <v>807</v>
      </c>
      <c r="B328" s="193" t="s">
        <v>806</v>
      </c>
      <c r="C328" s="33" t="s">
        <v>355</v>
      </c>
      <c r="D328" s="33" t="s">
        <v>399</v>
      </c>
      <c r="E328" s="33" t="s">
        <v>219</v>
      </c>
      <c r="F328" s="46">
        <f t="shared" si="36"/>
        <v>346</v>
      </c>
      <c r="G328" s="51"/>
      <c r="H328" s="51">
        <f>210+136</f>
        <v>346</v>
      </c>
      <c r="I328" s="48">
        <f t="shared" si="37"/>
        <v>346</v>
      </c>
      <c r="J328" s="52"/>
      <c r="K328" s="269">
        <f>210+136</f>
        <v>346</v>
      </c>
      <c r="L328" s="39">
        <f t="shared" si="38"/>
        <v>412</v>
      </c>
      <c r="M328" s="53"/>
      <c r="N328" s="53">
        <f>412</f>
        <v>412</v>
      </c>
      <c r="O328" s="15"/>
      <c r="P328" s="15"/>
    </row>
    <row r="329" spans="1:16" s="11" customFormat="1" ht="41.25">
      <c r="A329" s="115" t="s">
        <v>651</v>
      </c>
      <c r="B329" s="238" t="s">
        <v>652</v>
      </c>
      <c r="C329" s="12" t="s">
        <v>355</v>
      </c>
      <c r="D329" s="12" t="s">
        <v>399</v>
      </c>
      <c r="E329" s="12" t="s">
        <v>240</v>
      </c>
      <c r="F329" s="167">
        <f t="shared" si="36"/>
        <v>0</v>
      </c>
      <c r="G329" s="168"/>
      <c r="H329" s="168"/>
      <c r="I329" s="169">
        <f t="shared" si="37"/>
        <v>0</v>
      </c>
      <c r="J329" s="170"/>
      <c r="K329" s="170"/>
      <c r="L329" s="171">
        <f t="shared" si="38"/>
        <v>0</v>
      </c>
      <c r="M329" s="135"/>
      <c r="N329" s="135"/>
      <c r="O329" s="15"/>
      <c r="P329" s="15"/>
    </row>
    <row r="330" spans="1:16" s="11" customFormat="1" ht="69">
      <c r="A330" s="93" t="s">
        <v>809</v>
      </c>
      <c r="B330" s="193" t="s">
        <v>808</v>
      </c>
      <c r="C330" s="33" t="s">
        <v>238</v>
      </c>
      <c r="D330" s="33" t="s">
        <v>399</v>
      </c>
      <c r="E330" s="33" t="s">
        <v>240</v>
      </c>
      <c r="F330" s="46">
        <f t="shared" si="36"/>
        <v>52</v>
      </c>
      <c r="G330" s="51"/>
      <c r="H330" s="51">
        <v>52</v>
      </c>
      <c r="I330" s="48">
        <f t="shared" si="37"/>
        <v>70</v>
      </c>
      <c r="J330" s="52"/>
      <c r="K330" s="269">
        <v>70</v>
      </c>
      <c r="L330" s="39">
        <f t="shared" si="38"/>
        <v>70</v>
      </c>
      <c r="M330" s="53"/>
      <c r="N330" s="53">
        <f>70</f>
        <v>70</v>
      </c>
      <c r="O330" s="15"/>
      <c r="P330" s="15"/>
    </row>
    <row r="331" spans="1:16" s="11" customFormat="1" ht="69">
      <c r="A331" s="93" t="s">
        <v>809</v>
      </c>
      <c r="B331" s="193" t="s">
        <v>808</v>
      </c>
      <c r="C331" s="33" t="s">
        <v>355</v>
      </c>
      <c r="D331" s="33" t="s">
        <v>399</v>
      </c>
      <c r="E331" s="33" t="s">
        <v>240</v>
      </c>
      <c r="F331" s="46">
        <f t="shared" si="36"/>
        <v>14003</v>
      </c>
      <c r="G331" s="51"/>
      <c r="H331" s="51">
        <v>14003</v>
      </c>
      <c r="I331" s="48">
        <f t="shared" si="37"/>
        <v>17470</v>
      </c>
      <c r="J331" s="52"/>
      <c r="K331" s="269">
        <v>17470</v>
      </c>
      <c r="L331" s="39">
        <f t="shared" si="38"/>
        <v>18172</v>
      </c>
      <c r="M331" s="53"/>
      <c r="N331" s="53">
        <f>18172</f>
        <v>18172</v>
      </c>
      <c r="O331" s="15"/>
      <c r="P331" s="15"/>
    </row>
    <row r="332" spans="1:16" s="11" customFormat="1" ht="82.5">
      <c r="A332" s="93" t="s">
        <v>0</v>
      </c>
      <c r="B332" s="193" t="s">
        <v>810</v>
      </c>
      <c r="C332" s="33" t="s">
        <v>355</v>
      </c>
      <c r="D332" s="33" t="s">
        <v>399</v>
      </c>
      <c r="E332" s="33" t="s">
        <v>219</v>
      </c>
      <c r="F332" s="46">
        <f t="shared" si="36"/>
        <v>46</v>
      </c>
      <c r="G332" s="51"/>
      <c r="H332" s="51">
        <v>46</v>
      </c>
      <c r="I332" s="88">
        <f t="shared" si="37"/>
        <v>46</v>
      </c>
      <c r="J332" s="104"/>
      <c r="K332" s="104">
        <v>46</v>
      </c>
      <c r="L332" s="89">
        <f t="shared" si="38"/>
        <v>48</v>
      </c>
      <c r="M332" s="105"/>
      <c r="N332" s="105">
        <f>48</f>
        <v>48</v>
      </c>
      <c r="O332" s="15"/>
      <c r="P332" s="15"/>
    </row>
    <row r="333" spans="1:16" s="11" customFormat="1" ht="58.5" customHeight="1">
      <c r="A333" s="93" t="s">
        <v>2</v>
      </c>
      <c r="B333" s="193" t="s">
        <v>1</v>
      </c>
      <c r="C333" s="33" t="s">
        <v>355</v>
      </c>
      <c r="D333" s="33" t="s">
        <v>399</v>
      </c>
      <c r="E333" s="33" t="s">
        <v>240</v>
      </c>
      <c r="F333" s="46">
        <f t="shared" si="36"/>
        <v>1320</v>
      </c>
      <c r="G333" s="51"/>
      <c r="H333" s="51">
        <v>1320</v>
      </c>
      <c r="I333" s="48">
        <f t="shared" si="37"/>
        <v>1320</v>
      </c>
      <c r="J333" s="52"/>
      <c r="K333" s="269">
        <v>1320</v>
      </c>
      <c r="L333" s="39">
        <f t="shared" si="38"/>
        <v>1373</v>
      </c>
      <c r="M333" s="53"/>
      <c r="N333" s="53">
        <f>1373</f>
        <v>1373</v>
      </c>
      <c r="O333" s="15"/>
      <c r="P333" s="15"/>
    </row>
    <row r="334" spans="1:16" s="11" customFormat="1" ht="56.25" customHeight="1">
      <c r="A334" s="149" t="s">
        <v>4</v>
      </c>
      <c r="B334" s="193" t="s">
        <v>3</v>
      </c>
      <c r="C334" s="33" t="s">
        <v>238</v>
      </c>
      <c r="D334" s="33" t="s">
        <v>399</v>
      </c>
      <c r="E334" s="33" t="s">
        <v>240</v>
      </c>
      <c r="F334" s="46">
        <f t="shared" si="36"/>
        <v>1000</v>
      </c>
      <c r="G334" s="51"/>
      <c r="H334" s="51">
        <v>1000</v>
      </c>
      <c r="I334" s="48">
        <f t="shared" si="37"/>
        <v>1000</v>
      </c>
      <c r="J334" s="52"/>
      <c r="K334" s="269">
        <v>1000</v>
      </c>
      <c r="L334" s="39">
        <f t="shared" si="38"/>
        <v>1000</v>
      </c>
      <c r="M334" s="53"/>
      <c r="N334" s="53">
        <f>1000</f>
        <v>1000</v>
      </c>
      <c r="O334" s="15"/>
      <c r="P334" s="15"/>
    </row>
    <row r="335" spans="1:16" s="11" customFormat="1" ht="118.5" customHeight="1">
      <c r="A335" s="149" t="s">
        <v>4</v>
      </c>
      <c r="B335" s="193" t="s">
        <v>3</v>
      </c>
      <c r="C335" s="33" t="s">
        <v>355</v>
      </c>
      <c r="D335" s="33" t="s">
        <v>399</v>
      </c>
      <c r="E335" s="33" t="s">
        <v>240</v>
      </c>
      <c r="F335" s="46">
        <f t="shared" si="36"/>
        <v>64226</v>
      </c>
      <c r="G335" s="51"/>
      <c r="H335" s="51">
        <v>64226</v>
      </c>
      <c r="I335" s="48">
        <f t="shared" si="37"/>
        <v>66833</v>
      </c>
      <c r="J335" s="52"/>
      <c r="K335" s="269">
        <v>66833</v>
      </c>
      <c r="L335" s="39">
        <f t="shared" si="38"/>
        <v>69546</v>
      </c>
      <c r="M335" s="53"/>
      <c r="N335" s="53">
        <f>69546</f>
        <v>69546</v>
      </c>
      <c r="O335" s="15"/>
      <c r="P335" s="15"/>
    </row>
    <row r="336" spans="1:16" s="11" customFormat="1" ht="69">
      <c r="A336" s="93" t="s">
        <v>5</v>
      </c>
      <c r="B336" s="186" t="s">
        <v>6</v>
      </c>
      <c r="C336" s="33"/>
      <c r="D336" s="30"/>
      <c r="E336" s="31"/>
      <c r="F336" s="46">
        <f t="shared" si="36"/>
        <v>22090</v>
      </c>
      <c r="G336" s="36">
        <f>SUM(G337,G338)</f>
        <v>22090</v>
      </c>
      <c r="H336" s="36">
        <f>SUM(H337,H338)</f>
        <v>0</v>
      </c>
      <c r="I336" s="88">
        <f t="shared" si="37"/>
        <v>22527</v>
      </c>
      <c r="J336" s="77">
        <f>SUM(J337,J338)</f>
        <v>22527</v>
      </c>
      <c r="K336" s="77">
        <f>SUM(K337,K338)</f>
        <v>0</v>
      </c>
      <c r="L336" s="89">
        <f t="shared" si="38"/>
        <v>22972</v>
      </c>
      <c r="M336" s="78">
        <f>SUM(M337,M338)</f>
        <v>22972</v>
      </c>
      <c r="N336" s="78">
        <f>SUM(N337,N338)</f>
        <v>0</v>
      </c>
      <c r="O336" s="15"/>
      <c r="P336" s="15"/>
    </row>
    <row r="337" spans="1:16" s="11" customFormat="1" ht="54.75">
      <c r="A337" s="93" t="s">
        <v>8</v>
      </c>
      <c r="B337" s="187" t="s">
        <v>7</v>
      </c>
      <c r="C337" s="33" t="s">
        <v>238</v>
      </c>
      <c r="D337" s="33" t="s">
        <v>399</v>
      </c>
      <c r="E337" s="33" t="s">
        <v>218</v>
      </c>
      <c r="F337" s="46">
        <f aca="true" t="shared" si="39" ref="F337:F407">SUM(G337:H337)</f>
        <v>250</v>
      </c>
      <c r="G337" s="51">
        <f>250</f>
        <v>250</v>
      </c>
      <c r="H337" s="51"/>
      <c r="I337" s="48">
        <f aca="true" t="shared" si="40" ref="I337:I407">SUM(J337:K337)</f>
        <v>250</v>
      </c>
      <c r="J337" s="52">
        <f>250</f>
        <v>250</v>
      </c>
      <c r="K337" s="269"/>
      <c r="L337" s="39">
        <f aca="true" t="shared" si="41" ref="L337:L407">SUM(M337:N337)</f>
        <v>250</v>
      </c>
      <c r="M337" s="53">
        <f>250</f>
        <v>250</v>
      </c>
      <c r="N337" s="53"/>
      <c r="O337" s="15"/>
      <c r="P337" s="15"/>
    </row>
    <row r="338" spans="1:16" s="11" customFormat="1" ht="54.75">
      <c r="A338" s="93" t="s">
        <v>8</v>
      </c>
      <c r="B338" s="187" t="s">
        <v>7</v>
      </c>
      <c r="C338" s="33" t="s">
        <v>355</v>
      </c>
      <c r="D338" s="33" t="s">
        <v>399</v>
      </c>
      <c r="E338" s="33" t="s">
        <v>218</v>
      </c>
      <c r="F338" s="46">
        <f t="shared" si="39"/>
        <v>21840</v>
      </c>
      <c r="G338" s="51">
        <f>21840</f>
        <v>21840</v>
      </c>
      <c r="H338" s="51"/>
      <c r="I338" s="48">
        <f t="shared" si="40"/>
        <v>22277</v>
      </c>
      <c r="J338" s="52">
        <f>22277</f>
        <v>22277</v>
      </c>
      <c r="K338" s="269"/>
      <c r="L338" s="39">
        <f t="shared" si="41"/>
        <v>22722</v>
      </c>
      <c r="M338" s="53">
        <f>22722</f>
        <v>22722</v>
      </c>
      <c r="N338" s="53"/>
      <c r="O338" s="15"/>
      <c r="P338" s="15"/>
    </row>
    <row r="339" spans="1:16" s="11" customFormat="1" ht="96">
      <c r="A339" s="93" t="s">
        <v>9</v>
      </c>
      <c r="B339" s="186" t="s">
        <v>10</v>
      </c>
      <c r="C339" s="33"/>
      <c r="D339" s="30"/>
      <c r="E339" s="31"/>
      <c r="F339" s="46">
        <f t="shared" si="39"/>
        <v>73195</v>
      </c>
      <c r="G339" s="36">
        <f>SUM(G340,G341)</f>
        <v>6115</v>
      </c>
      <c r="H339" s="36">
        <f>SUM(H340,H341)</f>
        <v>67080</v>
      </c>
      <c r="I339" s="88">
        <f t="shared" si="40"/>
        <v>73195</v>
      </c>
      <c r="J339" s="77">
        <f>SUM(J340,J341)</f>
        <v>6115</v>
      </c>
      <c r="K339" s="77">
        <f>SUM(K340,K341)</f>
        <v>67080</v>
      </c>
      <c r="L339" s="89">
        <f t="shared" si="41"/>
        <v>75878</v>
      </c>
      <c r="M339" s="78">
        <f>SUM(M340,M341)</f>
        <v>6115</v>
      </c>
      <c r="N339" s="78">
        <f>SUM(N340,N341)</f>
        <v>69763</v>
      </c>
      <c r="O339" s="15"/>
      <c r="P339" s="15"/>
    </row>
    <row r="340" spans="1:16" s="11" customFormat="1" ht="69">
      <c r="A340" s="93" t="s">
        <v>12</v>
      </c>
      <c r="B340" s="187" t="s">
        <v>11</v>
      </c>
      <c r="C340" s="33" t="s">
        <v>274</v>
      </c>
      <c r="D340" s="33" t="s">
        <v>399</v>
      </c>
      <c r="E340" s="33" t="s">
        <v>219</v>
      </c>
      <c r="F340" s="46">
        <f t="shared" si="39"/>
        <v>6115</v>
      </c>
      <c r="G340" s="46">
        <f>6115</f>
        <v>6115</v>
      </c>
      <c r="H340" s="46"/>
      <c r="I340" s="48">
        <f t="shared" si="40"/>
        <v>6115</v>
      </c>
      <c r="J340" s="48">
        <f>6115</f>
        <v>6115</v>
      </c>
      <c r="K340" s="273"/>
      <c r="L340" s="39">
        <f t="shared" si="41"/>
        <v>6115</v>
      </c>
      <c r="M340" s="39">
        <f>6115</f>
        <v>6115</v>
      </c>
      <c r="N340" s="39"/>
      <c r="O340" s="15"/>
      <c r="P340" s="15"/>
    </row>
    <row r="341" spans="1:16" s="11" customFormat="1" ht="96">
      <c r="A341" s="93" t="s">
        <v>14</v>
      </c>
      <c r="B341" s="193" t="s">
        <v>13</v>
      </c>
      <c r="C341" s="33" t="s">
        <v>274</v>
      </c>
      <c r="D341" s="33" t="s">
        <v>399</v>
      </c>
      <c r="E341" s="33" t="s">
        <v>219</v>
      </c>
      <c r="F341" s="46">
        <f t="shared" si="39"/>
        <v>67080</v>
      </c>
      <c r="G341" s="51"/>
      <c r="H341" s="51">
        <v>67080</v>
      </c>
      <c r="I341" s="48">
        <f t="shared" si="40"/>
        <v>67080</v>
      </c>
      <c r="J341" s="52"/>
      <c r="K341" s="269">
        <v>67080</v>
      </c>
      <c r="L341" s="39">
        <f t="shared" si="41"/>
        <v>69763</v>
      </c>
      <c r="M341" s="53"/>
      <c r="N341" s="53">
        <f>69763</f>
        <v>69763</v>
      </c>
      <c r="O341" s="15"/>
      <c r="P341" s="15"/>
    </row>
    <row r="342" spans="1:16" s="11" customFormat="1" ht="41.25">
      <c r="A342" s="107" t="s">
        <v>324</v>
      </c>
      <c r="B342" s="199" t="s">
        <v>15</v>
      </c>
      <c r="C342" s="33"/>
      <c r="D342" s="30"/>
      <c r="E342" s="31"/>
      <c r="F342" s="46">
        <f t="shared" si="39"/>
        <v>4039</v>
      </c>
      <c r="G342" s="36">
        <f>SUM(G343)</f>
        <v>4039</v>
      </c>
      <c r="H342" s="36">
        <f>SUM(H343)</f>
        <v>0</v>
      </c>
      <c r="I342" s="88">
        <f t="shared" si="40"/>
        <v>4124</v>
      </c>
      <c r="J342" s="77">
        <f>SUM(J343)</f>
        <v>4124</v>
      </c>
      <c r="K342" s="77">
        <f>SUM(K343)</f>
        <v>0</v>
      </c>
      <c r="L342" s="89">
        <f t="shared" si="41"/>
        <v>4294</v>
      </c>
      <c r="M342" s="78">
        <f>SUM(M343)</f>
        <v>4294</v>
      </c>
      <c r="N342" s="78">
        <f>SUM(N343)</f>
        <v>0</v>
      </c>
      <c r="O342" s="15"/>
      <c r="P342" s="15"/>
    </row>
    <row r="343" spans="1:16" s="11" customFormat="1" ht="41.25">
      <c r="A343" s="146" t="s">
        <v>247</v>
      </c>
      <c r="B343" s="193" t="s">
        <v>16</v>
      </c>
      <c r="C343" s="33" t="s">
        <v>274</v>
      </c>
      <c r="D343" s="33" t="s">
        <v>399</v>
      </c>
      <c r="E343" s="33" t="s">
        <v>356</v>
      </c>
      <c r="F343" s="46">
        <f t="shared" si="39"/>
        <v>4039</v>
      </c>
      <c r="G343" s="51">
        <f>4039</f>
        <v>4039</v>
      </c>
      <c r="H343" s="51"/>
      <c r="I343" s="48">
        <f t="shared" si="40"/>
        <v>4124</v>
      </c>
      <c r="J343" s="52">
        <f>4124</f>
        <v>4124</v>
      </c>
      <c r="K343" s="269"/>
      <c r="L343" s="39">
        <f t="shared" si="41"/>
        <v>4294</v>
      </c>
      <c r="M343" s="53">
        <f>4294</f>
        <v>4294</v>
      </c>
      <c r="N343" s="53"/>
      <c r="O343" s="15"/>
      <c r="P343" s="15"/>
    </row>
    <row r="344" spans="1:16" s="11" customFormat="1" ht="41.25">
      <c r="A344" s="107" t="s">
        <v>17</v>
      </c>
      <c r="B344" s="199" t="s">
        <v>18</v>
      </c>
      <c r="C344" s="33"/>
      <c r="D344" s="30"/>
      <c r="E344" s="31"/>
      <c r="F344" s="46">
        <f t="shared" si="39"/>
        <v>180904</v>
      </c>
      <c r="G344" s="36">
        <f>SUM(G345,G346,G347,G348)</f>
        <v>0</v>
      </c>
      <c r="H344" s="36">
        <f>SUM(H345,H346,H347,H348)</f>
        <v>180904</v>
      </c>
      <c r="I344" s="88">
        <f t="shared" si="40"/>
        <v>189613</v>
      </c>
      <c r="J344" s="77">
        <f>SUM(J345,J346,J347,J348)</f>
        <v>0</v>
      </c>
      <c r="K344" s="77">
        <f>SUM(K345,K346,K347,K348)</f>
        <v>189613</v>
      </c>
      <c r="L344" s="89">
        <f t="shared" si="41"/>
        <v>191878</v>
      </c>
      <c r="M344" s="78">
        <f>SUM(M345,M346,M347,M348)</f>
        <v>0</v>
      </c>
      <c r="N344" s="78">
        <f>SUM(N345,N346,N347,N348)</f>
        <v>191878</v>
      </c>
      <c r="O344" s="15"/>
      <c r="P344" s="15"/>
    </row>
    <row r="345" spans="1:16" s="11" customFormat="1" ht="41.25">
      <c r="A345" s="93" t="s">
        <v>45</v>
      </c>
      <c r="B345" s="193" t="s">
        <v>19</v>
      </c>
      <c r="C345" s="33" t="s">
        <v>237</v>
      </c>
      <c r="D345" s="33" t="s">
        <v>399</v>
      </c>
      <c r="E345" s="33" t="s">
        <v>356</v>
      </c>
      <c r="F345" s="46">
        <f t="shared" si="39"/>
        <v>4700</v>
      </c>
      <c r="G345" s="51"/>
      <c r="H345" s="51">
        <v>4700</v>
      </c>
      <c r="I345" s="48">
        <f t="shared" si="40"/>
        <v>4800</v>
      </c>
      <c r="J345" s="52"/>
      <c r="K345" s="269">
        <v>4800</v>
      </c>
      <c r="L345" s="39">
        <f t="shared" si="41"/>
        <v>5033</v>
      </c>
      <c r="M345" s="53"/>
      <c r="N345" s="53">
        <f>5033</f>
        <v>5033</v>
      </c>
      <c r="O345" s="15"/>
      <c r="P345" s="15"/>
    </row>
    <row r="346" spans="1:16" s="11" customFormat="1" ht="41.25">
      <c r="A346" s="93" t="s">
        <v>45</v>
      </c>
      <c r="B346" s="193" t="s">
        <v>19</v>
      </c>
      <c r="C346" s="33" t="s">
        <v>238</v>
      </c>
      <c r="D346" s="33" t="s">
        <v>399</v>
      </c>
      <c r="E346" s="33" t="s">
        <v>356</v>
      </c>
      <c r="F346" s="46">
        <f t="shared" si="39"/>
        <v>3137</v>
      </c>
      <c r="G346" s="46"/>
      <c r="H346" s="46">
        <v>3137</v>
      </c>
      <c r="I346" s="48">
        <f t="shared" si="40"/>
        <v>3321</v>
      </c>
      <c r="J346" s="48"/>
      <c r="K346" s="273">
        <v>3321</v>
      </c>
      <c r="L346" s="39">
        <f t="shared" si="41"/>
        <v>3099</v>
      </c>
      <c r="M346" s="39"/>
      <c r="N346" s="39">
        <f>3099</f>
        <v>3099</v>
      </c>
      <c r="O346" s="15"/>
      <c r="P346" s="15"/>
    </row>
    <row r="347" spans="1:16" s="11" customFormat="1" ht="41.25">
      <c r="A347" s="93" t="s">
        <v>45</v>
      </c>
      <c r="B347" s="193" t="s">
        <v>19</v>
      </c>
      <c r="C347" s="33" t="s">
        <v>274</v>
      </c>
      <c r="D347" s="33" t="s">
        <v>399</v>
      </c>
      <c r="E347" s="33" t="s">
        <v>356</v>
      </c>
      <c r="F347" s="46">
        <f t="shared" si="39"/>
        <v>173047</v>
      </c>
      <c r="G347" s="51"/>
      <c r="H347" s="51">
        <f>168958+4089</f>
        <v>173047</v>
      </c>
      <c r="I347" s="48">
        <f t="shared" si="40"/>
        <v>181472</v>
      </c>
      <c r="J347" s="52"/>
      <c r="K347" s="269">
        <f>175070+6402</f>
        <v>181472</v>
      </c>
      <c r="L347" s="39">
        <f t="shared" si="41"/>
        <v>183708</v>
      </c>
      <c r="M347" s="53"/>
      <c r="N347" s="53">
        <f>183708</f>
        <v>183708</v>
      </c>
      <c r="O347" s="15"/>
      <c r="P347" s="15"/>
    </row>
    <row r="348" spans="1:16" s="11" customFormat="1" ht="41.25">
      <c r="A348" s="93" t="s">
        <v>45</v>
      </c>
      <c r="B348" s="193" t="s">
        <v>19</v>
      </c>
      <c r="C348" s="33" t="s">
        <v>239</v>
      </c>
      <c r="D348" s="33" t="s">
        <v>399</v>
      </c>
      <c r="E348" s="33" t="s">
        <v>356</v>
      </c>
      <c r="F348" s="46">
        <f t="shared" si="39"/>
        <v>20</v>
      </c>
      <c r="G348" s="51"/>
      <c r="H348" s="51">
        <v>20</v>
      </c>
      <c r="I348" s="48">
        <f t="shared" si="40"/>
        <v>20</v>
      </c>
      <c r="J348" s="52"/>
      <c r="K348" s="269">
        <v>20</v>
      </c>
      <c r="L348" s="39">
        <f t="shared" si="41"/>
        <v>38</v>
      </c>
      <c r="M348" s="53"/>
      <c r="N348" s="53">
        <f>38</f>
        <v>38</v>
      </c>
      <c r="O348" s="15"/>
      <c r="P348" s="15"/>
    </row>
    <row r="349" spans="1:16" s="11" customFormat="1" ht="27">
      <c r="A349" s="63" t="s">
        <v>361</v>
      </c>
      <c r="B349" s="199" t="s">
        <v>46</v>
      </c>
      <c r="C349" s="33"/>
      <c r="D349" s="30"/>
      <c r="E349" s="31"/>
      <c r="F349" s="46">
        <f t="shared" si="39"/>
        <v>41</v>
      </c>
      <c r="G349" s="36">
        <f>SUM(G350)</f>
        <v>41</v>
      </c>
      <c r="H349" s="36">
        <f>SUM(H350)</f>
        <v>0</v>
      </c>
      <c r="I349" s="88">
        <f t="shared" si="40"/>
        <v>41</v>
      </c>
      <c r="J349" s="77">
        <f>SUM(J350)</f>
        <v>41</v>
      </c>
      <c r="K349" s="77">
        <f>SUM(K350)</f>
        <v>0</v>
      </c>
      <c r="L349" s="89">
        <f t="shared" si="41"/>
        <v>41</v>
      </c>
      <c r="M349" s="78">
        <f>SUM(M350)</f>
        <v>41</v>
      </c>
      <c r="N349" s="78">
        <f>SUM(N350)</f>
        <v>0</v>
      </c>
      <c r="O349" s="15"/>
      <c r="P349" s="15"/>
    </row>
    <row r="350" spans="1:16" s="11" customFormat="1" ht="13.5">
      <c r="A350" s="151" t="s">
        <v>362</v>
      </c>
      <c r="B350" s="193" t="s">
        <v>47</v>
      </c>
      <c r="C350" s="33" t="s">
        <v>238</v>
      </c>
      <c r="D350" s="33" t="s">
        <v>399</v>
      </c>
      <c r="E350" s="33" t="s">
        <v>219</v>
      </c>
      <c r="F350" s="46">
        <f t="shared" si="39"/>
        <v>41</v>
      </c>
      <c r="G350" s="46">
        <f>41</f>
        <v>41</v>
      </c>
      <c r="H350" s="46"/>
      <c r="I350" s="48">
        <f t="shared" si="40"/>
        <v>41</v>
      </c>
      <c r="J350" s="48">
        <f>41</f>
        <v>41</v>
      </c>
      <c r="K350" s="273"/>
      <c r="L350" s="39">
        <f t="shared" si="41"/>
        <v>41</v>
      </c>
      <c r="M350" s="39">
        <f>41</f>
        <v>41</v>
      </c>
      <c r="N350" s="39"/>
      <c r="O350" s="15"/>
      <c r="P350" s="15"/>
    </row>
    <row r="351" spans="1:16" s="11" customFormat="1" ht="27">
      <c r="A351" s="63" t="s">
        <v>298</v>
      </c>
      <c r="B351" s="199" t="s">
        <v>48</v>
      </c>
      <c r="C351" s="33"/>
      <c r="D351" s="30"/>
      <c r="E351" s="31"/>
      <c r="F351" s="46">
        <f t="shared" si="39"/>
        <v>2527</v>
      </c>
      <c r="G351" s="36">
        <f>SUM(G352,G353,G354,G355,G356,G357)</f>
        <v>2527</v>
      </c>
      <c r="H351" s="36">
        <f>SUM(H352,H353,H354,H355,H356,H357)</f>
        <v>0</v>
      </c>
      <c r="I351" s="88">
        <f t="shared" si="40"/>
        <v>2527</v>
      </c>
      <c r="J351" s="77">
        <f>SUM(J352,J353,J354,J355,J356,J357)</f>
        <v>2527</v>
      </c>
      <c r="K351" s="77">
        <f>SUM(K352,K353,K354,K355,K356,K357)</f>
        <v>0</v>
      </c>
      <c r="L351" s="89">
        <f t="shared" si="41"/>
        <v>2527</v>
      </c>
      <c r="M351" s="78">
        <f>SUM(M352,M353,M354,M355,M356,M357)</f>
        <v>2527</v>
      </c>
      <c r="N351" s="78">
        <f>SUM(N352,N353,N354,N355,N356,N357)</f>
        <v>0</v>
      </c>
      <c r="O351" s="15"/>
      <c r="P351" s="15"/>
    </row>
    <row r="352" spans="1:16" s="11" customFormat="1" ht="27">
      <c r="A352" s="93" t="s">
        <v>250</v>
      </c>
      <c r="B352" s="193" t="s">
        <v>49</v>
      </c>
      <c r="C352" s="33" t="s">
        <v>238</v>
      </c>
      <c r="D352" s="33" t="s">
        <v>399</v>
      </c>
      <c r="E352" s="33" t="s">
        <v>219</v>
      </c>
      <c r="F352" s="46">
        <f t="shared" si="39"/>
        <v>21</v>
      </c>
      <c r="G352" s="46">
        <f>21</f>
        <v>21</v>
      </c>
      <c r="H352" s="46"/>
      <c r="I352" s="48">
        <f t="shared" si="40"/>
        <v>21</v>
      </c>
      <c r="J352" s="48">
        <f>21</f>
        <v>21</v>
      </c>
      <c r="K352" s="273"/>
      <c r="L352" s="39">
        <f t="shared" si="41"/>
        <v>21</v>
      </c>
      <c r="M352" s="39">
        <f>21</f>
        <v>21</v>
      </c>
      <c r="N352" s="39"/>
      <c r="O352" s="15"/>
      <c r="P352" s="15"/>
    </row>
    <row r="353" spans="1:16" s="11" customFormat="1" ht="27">
      <c r="A353" s="93" t="s">
        <v>250</v>
      </c>
      <c r="B353" s="193" t="s">
        <v>49</v>
      </c>
      <c r="C353" s="33" t="s">
        <v>355</v>
      </c>
      <c r="D353" s="33" t="s">
        <v>399</v>
      </c>
      <c r="E353" s="33" t="s">
        <v>219</v>
      </c>
      <c r="F353" s="46">
        <f t="shared" si="39"/>
        <v>297</v>
      </c>
      <c r="G353" s="46">
        <f>297</f>
        <v>297</v>
      </c>
      <c r="H353" s="46"/>
      <c r="I353" s="48">
        <f t="shared" si="40"/>
        <v>297</v>
      </c>
      <c r="J353" s="48">
        <f>297</f>
        <v>297</v>
      </c>
      <c r="K353" s="273"/>
      <c r="L353" s="39">
        <f t="shared" si="41"/>
        <v>297</v>
      </c>
      <c r="M353" s="39">
        <f>297</f>
        <v>297</v>
      </c>
      <c r="N353" s="39"/>
      <c r="O353" s="15"/>
      <c r="P353" s="15"/>
    </row>
    <row r="354" spans="1:16" s="11" customFormat="1" ht="27">
      <c r="A354" s="93" t="s">
        <v>250</v>
      </c>
      <c r="B354" s="193" t="s">
        <v>49</v>
      </c>
      <c r="C354" s="33" t="s">
        <v>274</v>
      </c>
      <c r="D354" s="33" t="s">
        <v>251</v>
      </c>
      <c r="E354" s="33" t="s">
        <v>218</v>
      </c>
      <c r="F354" s="55">
        <f t="shared" si="39"/>
        <v>0</v>
      </c>
      <c r="G354" s="55"/>
      <c r="H354" s="55"/>
      <c r="I354" s="57">
        <f t="shared" si="40"/>
        <v>0</v>
      </c>
      <c r="J354" s="57"/>
      <c r="K354" s="274"/>
      <c r="L354" s="59">
        <f t="shared" si="41"/>
        <v>0</v>
      </c>
      <c r="M354" s="59"/>
      <c r="N354" s="59"/>
      <c r="O354" s="15"/>
      <c r="P354" s="15"/>
    </row>
    <row r="355" spans="1:16" s="11" customFormat="1" ht="27">
      <c r="A355" s="93" t="s">
        <v>250</v>
      </c>
      <c r="B355" s="193" t="s">
        <v>49</v>
      </c>
      <c r="C355" s="33" t="s">
        <v>274</v>
      </c>
      <c r="D355" s="33" t="s">
        <v>399</v>
      </c>
      <c r="E355" s="33" t="s">
        <v>219</v>
      </c>
      <c r="F355" s="55">
        <f t="shared" si="39"/>
        <v>2209</v>
      </c>
      <c r="G355" s="55">
        <f>2209</f>
        <v>2209</v>
      </c>
      <c r="H355" s="55"/>
      <c r="I355" s="57">
        <f t="shared" si="40"/>
        <v>2209</v>
      </c>
      <c r="J355" s="57">
        <f>2209</f>
        <v>2209</v>
      </c>
      <c r="K355" s="274"/>
      <c r="L355" s="59">
        <f t="shared" si="41"/>
        <v>2209</v>
      </c>
      <c r="M355" s="59">
        <f>2209</f>
        <v>2209</v>
      </c>
      <c r="N355" s="59"/>
      <c r="O355" s="15"/>
      <c r="P355" s="15"/>
    </row>
    <row r="356" spans="1:16" s="11" customFormat="1" ht="69">
      <c r="A356" s="63" t="s">
        <v>467</v>
      </c>
      <c r="B356" s="185" t="s">
        <v>50</v>
      </c>
      <c r="C356" s="31" t="s">
        <v>274</v>
      </c>
      <c r="D356" s="33">
        <v>11</v>
      </c>
      <c r="E356" s="33" t="s">
        <v>356</v>
      </c>
      <c r="F356" s="68">
        <f t="shared" si="39"/>
        <v>0</v>
      </c>
      <c r="G356" s="68"/>
      <c r="H356" s="68"/>
      <c r="I356" s="83">
        <f t="shared" si="40"/>
        <v>0</v>
      </c>
      <c r="J356" s="83"/>
      <c r="K356" s="83"/>
      <c r="L356" s="84">
        <f t="shared" si="41"/>
        <v>0</v>
      </c>
      <c r="M356" s="84"/>
      <c r="N356" s="84"/>
      <c r="O356" s="15"/>
      <c r="P356" s="15"/>
    </row>
    <row r="357" spans="1:16" s="11" customFormat="1" ht="69">
      <c r="A357" s="63" t="s">
        <v>470</v>
      </c>
      <c r="B357" s="185" t="s">
        <v>51</v>
      </c>
      <c r="C357" s="31" t="s">
        <v>274</v>
      </c>
      <c r="D357" s="33" t="s">
        <v>508</v>
      </c>
      <c r="E357" s="33" t="s">
        <v>356</v>
      </c>
      <c r="F357" s="68">
        <f t="shared" si="39"/>
        <v>0</v>
      </c>
      <c r="G357" s="68"/>
      <c r="H357" s="68"/>
      <c r="I357" s="83">
        <f t="shared" si="40"/>
        <v>0</v>
      </c>
      <c r="J357" s="83"/>
      <c r="K357" s="77"/>
      <c r="L357" s="84">
        <f t="shared" si="41"/>
        <v>0</v>
      </c>
      <c r="M357" s="84"/>
      <c r="N357" s="78"/>
      <c r="O357" s="15"/>
      <c r="P357" s="15"/>
    </row>
    <row r="358" spans="1:14" s="29" customFormat="1" ht="54.75">
      <c r="A358" s="35" t="s">
        <v>52</v>
      </c>
      <c r="B358" s="203" t="s">
        <v>53</v>
      </c>
      <c r="C358" s="33"/>
      <c r="D358" s="30"/>
      <c r="E358" s="31"/>
      <c r="F358" s="46">
        <f t="shared" si="39"/>
        <v>2651</v>
      </c>
      <c r="G358" s="36">
        <f>SUM(G359,G360,G361)</f>
        <v>2651</v>
      </c>
      <c r="H358" s="36">
        <f>SUM(H359,H360,H361)</f>
        <v>0</v>
      </c>
      <c r="I358" s="88">
        <f t="shared" si="40"/>
        <v>2651</v>
      </c>
      <c r="J358" s="77">
        <f>SUM(J359,J360,J361)</f>
        <v>2651</v>
      </c>
      <c r="K358" s="77">
        <f>SUM(K359,K360,K361)</f>
        <v>0</v>
      </c>
      <c r="L358" s="89">
        <f t="shared" si="41"/>
        <v>2651</v>
      </c>
      <c r="M358" s="78">
        <f>SUM(M359,M360,M361)</f>
        <v>2651</v>
      </c>
      <c r="N358" s="78">
        <f>SUM(N359,N360,N361)</f>
        <v>0</v>
      </c>
    </row>
    <row r="359" spans="1:16" s="9" customFormat="1" ht="41.25">
      <c r="A359" s="35" t="s">
        <v>55</v>
      </c>
      <c r="B359" s="185" t="s">
        <v>54</v>
      </c>
      <c r="C359" s="33" t="s">
        <v>238</v>
      </c>
      <c r="D359" s="33" t="s">
        <v>399</v>
      </c>
      <c r="E359" s="33" t="s">
        <v>219</v>
      </c>
      <c r="F359" s="46">
        <f t="shared" si="39"/>
        <v>600</v>
      </c>
      <c r="G359" s="51">
        <f>600</f>
        <v>600</v>
      </c>
      <c r="H359" s="51"/>
      <c r="I359" s="48">
        <f t="shared" si="40"/>
        <v>600</v>
      </c>
      <c r="J359" s="52">
        <f>600</f>
        <v>600</v>
      </c>
      <c r="K359" s="269"/>
      <c r="L359" s="39">
        <f t="shared" si="41"/>
        <v>600</v>
      </c>
      <c r="M359" s="53">
        <f>600</f>
        <v>600</v>
      </c>
      <c r="N359" s="53"/>
      <c r="O359" s="23"/>
      <c r="P359" s="23"/>
    </row>
    <row r="360" spans="1:16" s="9" customFormat="1" ht="45.75" customHeight="1">
      <c r="A360" s="35" t="s">
        <v>55</v>
      </c>
      <c r="B360" s="185" t="s">
        <v>54</v>
      </c>
      <c r="C360" s="33" t="s">
        <v>355</v>
      </c>
      <c r="D360" s="33" t="s">
        <v>399</v>
      </c>
      <c r="E360" s="33" t="s">
        <v>219</v>
      </c>
      <c r="F360" s="46">
        <f t="shared" si="39"/>
        <v>926</v>
      </c>
      <c r="G360" s="51">
        <f>926</f>
        <v>926</v>
      </c>
      <c r="H360" s="51"/>
      <c r="I360" s="48">
        <f t="shared" si="40"/>
        <v>926</v>
      </c>
      <c r="J360" s="52">
        <f>926</f>
        <v>926</v>
      </c>
      <c r="K360" s="269"/>
      <c r="L360" s="39">
        <f t="shared" si="41"/>
        <v>926</v>
      </c>
      <c r="M360" s="53">
        <f>926</f>
        <v>926</v>
      </c>
      <c r="N360" s="53"/>
      <c r="O360" s="23"/>
      <c r="P360" s="23"/>
    </row>
    <row r="361" spans="1:14" s="29" customFormat="1" ht="41.25">
      <c r="A361" s="35" t="s">
        <v>55</v>
      </c>
      <c r="B361" s="185" t="s">
        <v>54</v>
      </c>
      <c r="C361" s="33" t="s">
        <v>274</v>
      </c>
      <c r="D361" s="33" t="s">
        <v>399</v>
      </c>
      <c r="E361" s="33" t="s">
        <v>219</v>
      </c>
      <c r="F361" s="46">
        <f t="shared" si="39"/>
        <v>1125</v>
      </c>
      <c r="G361" s="51">
        <f>1125</f>
        <v>1125</v>
      </c>
      <c r="H361" s="51"/>
      <c r="I361" s="48">
        <f t="shared" si="40"/>
        <v>1125</v>
      </c>
      <c r="J361" s="52">
        <f>1125</f>
        <v>1125</v>
      </c>
      <c r="K361" s="269"/>
      <c r="L361" s="39">
        <f t="shared" si="41"/>
        <v>1125</v>
      </c>
      <c r="M361" s="53">
        <f>1125</f>
        <v>1125</v>
      </c>
      <c r="N361" s="53"/>
    </row>
    <row r="362" spans="1:16" s="11" customFormat="1" ht="27">
      <c r="A362" s="41" t="s">
        <v>56</v>
      </c>
      <c r="B362" s="198" t="s">
        <v>57</v>
      </c>
      <c r="C362" s="42"/>
      <c r="D362" s="124"/>
      <c r="E362" s="42"/>
      <c r="F362" s="43">
        <f t="shared" si="39"/>
        <v>976</v>
      </c>
      <c r="G362" s="74">
        <f>SUM(G363)</f>
        <v>976</v>
      </c>
      <c r="H362" s="74">
        <f>SUM(H363)</f>
        <v>0</v>
      </c>
      <c r="I362" s="80">
        <f t="shared" si="40"/>
        <v>976</v>
      </c>
      <c r="J362" s="75">
        <f>SUM(J363)</f>
        <v>976</v>
      </c>
      <c r="K362" s="75">
        <f>SUM(K363)</f>
        <v>0</v>
      </c>
      <c r="L362" s="81">
        <f t="shared" si="41"/>
        <v>976</v>
      </c>
      <c r="M362" s="76">
        <f>SUM(M363)</f>
        <v>976</v>
      </c>
      <c r="N362" s="76">
        <f>SUM(N363)</f>
        <v>0</v>
      </c>
      <c r="O362" s="15"/>
      <c r="P362" s="15"/>
    </row>
    <row r="363" spans="1:16" s="11" customFormat="1" ht="41.25">
      <c r="A363" s="93" t="s">
        <v>58</v>
      </c>
      <c r="B363" s="199" t="s">
        <v>59</v>
      </c>
      <c r="C363" s="33"/>
      <c r="D363" s="87"/>
      <c r="E363" s="31"/>
      <c r="F363" s="46">
        <f t="shared" si="39"/>
        <v>976</v>
      </c>
      <c r="G363" s="36">
        <f>SUM(G364)</f>
        <v>976</v>
      </c>
      <c r="H363" s="36">
        <f>SUM(H364)</f>
        <v>0</v>
      </c>
      <c r="I363" s="88">
        <f t="shared" si="40"/>
        <v>976</v>
      </c>
      <c r="J363" s="77">
        <f>SUM(J364)</f>
        <v>976</v>
      </c>
      <c r="K363" s="77">
        <f>SUM(K364)</f>
        <v>0</v>
      </c>
      <c r="L363" s="89">
        <f t="shared" si="41"/>
        <v>976</v>
      </c>
      <c r="M363" s="78">
        <f>SUM(M364)</f>
        <v>976</v>
      </c>
      <c r="N363" s="78">
        <f>SUM(N364)</f>
        <v>0</v>
      </c>
      <c r="O363" s="15"/>
      <c r="P363" s="15"/>
    </row>
    <row r="364" spans="1:16" s="11" customFormat="1" ht="41.25">
      <c r="A364" s="93" t="s">
        <v>61</v>
      </c>
      <c r="B364" s="193" t="s">
        <v>60</v>
      </c>
      <c r="C364" s="33" t="s">
        <v>274</v>
      </c>
      <c r="D364" s="33" t="s">
        <v>399</v>
      </c>
      <c r="E364" s="33" t="s">
        <v>219</v>
      </c>
      <c r="F364" s="46">
        <f t="shared" si="39"/>
        <v>976</v>
      </c>
      <c r="G364" s="51">
        <f>976</f>
        <v>976</v>
      </c>
      <c r="H364" s="51"/>
      <c r="I364" s="48">
        <f t="shared" si="40"/>
        <v>976</v>
      </c>
      <c r="J364" s="52">
        <f>976</f>
        <v>976</v>
      </c>
      <c r="K364" s="269"/>
      <c r="L364" s="39">
        <f t="shared" si="41"/>
        <v>976</v>
      </c>
      <c r="M364" s="53">
        <f>976</f>
        <v>976</v>
      </c>
      <c r="N364" s="53"/>
      <c r="O364" s="15"/>
      <c r="P364" s="15"/>
    </row>
    <row r="365" spans="1:16" s="11" customFormat="1" ht="27">
      <c r="A365" s="106" t="s">
        <v>62</v>
      </c>
      <c r="B365" s="194" t="s">
        <v>63</v>
      </c>
      <c r="C365" s="42"/>
      <c r="D365" s="124"/>
      <c r="E365" s="42"/>
      <c r="F365" s="73">
        <f t="shared" si="39"/>
        <v>375</v>
      </c>
      <c r="G365" s="74">
        <f>SUM(G366,G368)</f>
        <v>375</v>
      </c>
      <c r="H365" s="74">
        <f>SUM(H366,H368)</f>
        <v>0</v>
      </c>
      <c r="I365" s="91">
        <f t="shared" si="40"/>
        <v>135</v>
      </c>
      <c r="J365" s="75">
        <f>SUM(J366,J368)</f>
        <v>135</v>
      </c>
      <c r="K365" s="75">
        <f>SUM(K366,K368)</f>
        <v>0</v>
      </c>
      <c r="L365" s="92">
        <f t="shared" si="41"/>
        <v>135</v>
      </c>
      <c r="M365" s="76">
        <f>SUM(M366,M368)</f>
        <v>135</v>
      </c>
      <c r="N365" s="76">
        <f>SUM(N366,N368)</f>
        <v>0</v>
      </c>
      <c r="O365" s="15"/>
      <c r="P365" s="15"/>
    </row>
    <row r="366" spans="1:14" s="28" customFormat="1" ht="27">
      <c r="A366" s="107" t="s">
        <v>298</v>
      </c>
      <c r="B366" s="186" t="s">
        <v>64</v>
      </c>
      <c r="C366" s="33"/>
      <c r="D366" s="30"/>
      <c r="E366" s="31"/>
      <c r="F366" s="46">
        <f t="shared" si="39"/>
        <v>375</v>
      </c>
      <c r="G366" s="64">
        <f>SUM(G367)</f>
        <v>375</v>
      </c>
      <c r="H366" s="64">
        <f>SUM(H367)</f>
        <v>0</v>
      </c>
      <c r="I366" s="88">
        <f t="shared" si="40"/>
        <v>135</v>
      </c>
      <c r="J366" s="112">
        <f>SUM(J367)</f>
        <v>135</v>
      </c>
      <c r="K366" s="112">
        <f>SUM(K367)</f>
        <v>0</v>
      </c>
      <c r="L366" s="89">
        <f t="shared" si="41"/>
        <v>135</v>
      </c>
      <c r="M366" s="113">
        <f>SUM(M367)</f>
        <v>135</v>
      </c>
      <c r="N366" s="113">
        <f>SUM(N367)</f>
        <v>0</v>
      </c>
    </row>
    <row r="367" spans="1:16" s="11" customFormat="1" ht="27">
      <c r="A367" s="93" t="s">
        <v>250</v>
      </c>
      <c r="B367" s="187" t="s">
        <v>65</v>
      </c>
      <c r="C367" s="33" t="s">
        <v>238</v>
      </c>
      <c r="D367" s="33" t="s">
        <v>399</v>
      </c>
      <c r="E367" s="33" t="s">
        <v>219</v>
      </c>
      <c r="F367" s="46">
        <f t="shared" si="39"/>
        <v>375</v>
      </c>
      <c r="G367" s="51">
        <f>375</f>
        <v>375</v>
      </c>
      <c r="H367" s="51"/>
      <c r="I367" s="48">
        <f t="shared" si="40"/>
        <v>135</v>
      </c>
      <c r="J367" s="52">
        <f>135</f>
        <v>135</v>
      </c>
      <c r="K367" s="269"/>
      <c r="L367" s="39">
        <f t="shared" si="41"/>
        <v>135</v>
      </c>
      <c r="M367" s="53">
        <f>135</f>
        <v>135</v>
      </c>
      <c r="N367" s="53"/>
      <c r="O367" s="15"/>
      <c r="P367" s="15"/>
    </row>
    <row r="368" spans="1:16" s="11" customFormat="1" ht="49.5" customHeight="1">
      <c r="A368" s="54" t="s">
        <v>66</v>
      </c>
      <c r="B368" s="186" t="s">
        <v>67</v>
      </c>
      <c r="C368" s="33"/>
      <c r="D368" s="30"/>
      <c r="E368" s="85"/>
      <c r="F368" s="46">
        <f t="shared" si="39"/>
        <v>0</v>
      </c>
      <c r="G368" s="68">
        <f>SUM(G369)</f>
        <v>0</v>
      </c>
      <c r="H368" s="68">
        <f>SUM(H369)</f>
        <v>0</v>
      </c>
      <c r="I368" s="88">
        <f t="shared" si="40"/>
        <v>0</v>
      </c>
      <c r="J368" s="83">
        <f>SUM(J369)</f>
        <v>0</v>
      </c>
      <c r="K368" s="83">
        <f>SUM(K369)</f>
        <v>0</v>
      </c>
      <c r="L368" s="89">
        <f t="shared" si="41"/>
        <v>0</v>
      </c>
      <c r="M368" s="84">
        <f>SUM(M369)</f>
        <v>0</v>
      </c>
      <c r="N368" s="84">
        <f>SUM(N369)</f>
        <v>0</v>
      </c>
      <c r="O368" s="15"/>
      <c r="P368" s="15"/>
    </row>
    <row r="369" spans="1:16" s="11" customFormat="1" ht="49.5" customHeight="1">
      <c r="A369" s="107" t="s">
        <v>69</v>
      </c>
      <c r="B369" s="187" t="s">
        <v>68</v>
      </c>
      <c r="C369" s="33" t="s">
        <v>355</v>
      </c>
      <c r="D369" s="33" t="s">
        <v>399</v>
      </c>
      <c r="E369" s="33" t="s">
        <v>219</v>
      </c>
      <c r="F369" s="46">
        <f t="shared" si="39"/>
        <v>0</v>
      </c>
      <c r="G369" s="46"/>
      <c r="H369" s="46"/>
      <c r="I369" s="48">
        <f t="shared" si="40"/>
        <v>0</v>
      </c>
      <c r="J369" s="48"/>
      <c r="K369" s="273"/>
      <c r="L369" s="39">
        <f t="shared" si="41"/>
        <v>0</v>
      </c>
      <c r="M369" s="39"/>
      <c r="N369" s="39"/>
      <c r="O369" s="15"/>
      <c r="P369" s="15"/>
    </row>
    <row r="370" spans="1:16" s="11" customFormat="1" ht="90" customHeight="1">
      <c r="A370" s="152" t="s">
        <v>70</v>
      </c>
      <c r="B370" s="194" t="s">
        <v>72</v>
      </c>
      <c r="C370" s="42"/>
      <c r="D370" s="34"/>
      <c r="E370" s="90"/>
      <c r="F370" s="73">
        <f t="shared" si="39"/>
        <v>27387</v>
      </c>
      <c r="G370" s="73">
        <f>SUM(G371,G374,G378,G381,G383,G385)</f>
        <v>872</v>
      </c>
      <c r="H370" s="73">
        <f>SUM(H371,H374,H378,H381,H383,H385)</f>
        <v>26515</v>
      </c>
      <c r="I370" s="91">
        <f t="shared" si="40"/>
        <v>27416</v>
      </c>
      <c r="J370" s="91">
        <f>SUM(J371,J374,J378,J381,J383,J385)</f>
        <v>901</v>
      </c>
      <c r="K370" s="91">
        <f>SUM(K371,K374,K378,K381,K383,K385)</f>
        <v>26515</v>
      </c>
      <c r="L370" s="92">
        <f t="shared" si="41"/>
        <v>27706</v>
      </c>
      <c r="M370" s="92">
        <f>SUM(M371,M374,M378,M381,M383,M385)</f>
        <v>938</v>
      </c>
      <c r="N370" s="92">
        <f>SUM(N371,N374,N378,N381,N383,N385)</f>
        <v>26768</v>
      </c>
      <c r="O370" s="15"/>
      <c r="P370" s="15"/>
    </row>
    <row r="371" spans="1:16" s="11" customFormat="1" ht="41.25">
      <c r="A371" s="94" t="s">
        <v>73</v>
      </c>
      <c r="B371" s="199" t="s">
        <v>74</v>
      </c>
      <c r="C371" s="33"/>
      <c r="D371" s="30"/>
      <c r="E371" s="31"/>
      <c r="F371" s="46">
        <f t="shared" si="39"/>
        <v>12733</v>
      </c>
      <c r="G371" s="64">
        <f>SUM(G372,G373)</f>
        <v>0</v>
      </c>
      <c r="H371" s="64">
        <f>SUM(H372,H373)</f>
        <v>12733</v>
      </c>
      <c r="I371" s="88">
        <f t="shared" si="40"/>
        <v>12733</v>
      </c>
      <c r="J371" s="112">
        <f>SUM(J372,J373)</f>
        <v>0</v>
      </c>
      <c r="K371" s="112">
        <f>SUM(K372,K373)</f>
        <v>12733</v>
      </c>
      <c r="L371" s="89">
        <f t="shared" si="41"/>
        <v>12859</v>
      </c>
      <c r="M371" s="113">
        <f>SUM(M372,M373)</f>
        <v>0</v>
      </c>
      <c r="N371" s="113">
        <f>SUM(N372,N373)</f>
        <v>12859</v>
      </c>
      <c r="O371" s="15"/>
      <c r="P371" s="15"/>
    </row>
    <row r="372" spans="1:16" s="11" customFormat="1" ht="41.25">
      <c r="A372" s="93" t="s">
        <v>76</v>
      </c>
      <c r="B372" s="193" t="s">
        <v>75</v>
      </c>
      <c r="C372" s="33" t="s">
        <v>237</v>
      </c>
      <c r="D372" s="33" t="s">
        <v>399</v>
      </c>
      <c r="E372" s="33" t="s">
        <v>71</v>
      </c>
      <c r="F372" s="46">
        <f t="shared" si="39"/>
        <v>12599</v>
      </c>
      <c r="G372" s="51"/>
      <c r="H372" s="51">
        <v>12599</v>
      </c>
      <c r="I372" s="48">
        <f t="shared" si="40"/>
        <v>12599</v>
      </c>
      <c r="J372" s="52"/>
      <c r="K372" s="269">
        <v>12599</v>
      </c>
      <c r="L372" s="39">
        <f t="shared" si="41"/>
        <v>12725</v>
      </c>
      <c r="M372" s="53"/>
      <c r="N372" s="53">
        <f>12725</f>
        <v>12725</v>
      </c>
      <c r="O372" s="15"/>
      <c r="P372" s="15"/>
    </row>
    <row r="373" spans="1:16" s="11" customFormat="1" ht="41.25">
      <c r="A373" s="93" t="s">
        <v>76</v>
      </c>
      <c r="B373" s="193" t="s">
        <v>75</v>
      </c>
      <c r="C373" s="33" t="s">
        <v>238</v>
      </c>
      <c r="D373" s="33" t="s">
        <v>399</v>
      </c>
      <c r="E373" s="33" t="s">
        <v>71</v>
      </c>
      <c r="F373" s="46">
        <f t="shared" si="39"/>
        <v>134</v>
      </c>
      <c r="G373" s="51"/>
      <c r="H373" s="51">
        <v>134</v>
      </c>
      <c r="I373" s="48">
        <f t="shared" si="40"/>
        <v>134</v>
      </c>
      <c r="J373" s="52"/>
      <c r="K373" s="269">
        <v>134</v>
      </c>
      <c r="L373" s="39">
        <f t="shared" si="41"/>
        <v>134</v>
      </c>
      <c r="M373" s="53"/>
      <c r="N373" s="53">
        <f>134</f>
        <v>134</v>
      </c>
      <c r="O373" s="15"/>
      <c r="P373" s="15"/>
    </row>
    <row r="374" spans="1:16" s="11" customFormat="1" ht="45" customHeight="1">
      <c r="A374" s="94" t="s">
        <v>77</v>
      </c>
      <c r="B374" s="186" t="s">
        <v>78</v>
      </c>
      <c r="C374" s="33"/>
      <c r="D374" s="30"/>
      <c r="E374" s="31"/>
      <c r="F374" s="46">
        <f t="shared" si="39"/>
        <v>5679</v>
      </c>
      <c r="G374" s="64">
        <f>SUM(G375,G376,G377)</f>
        <v>0</v>
      </c>
      <c r="H374" s="64">
        <f>SUM(H375,H376,H377)</f>
        <v>5679</v>
      </c>
      <c r="I374" s="88">
        <f t="shared" si="40"/>
        <v>5679</v>
      </c>
      <c r="J374" s="112">
        <f>SUM(J375,J376,J377)</f>
        <v>0</v>
      </c>
      <c r="K374" s="112">
        <f>SUM(K375,K376,K377)</f>
        <v>5679</v>
      </c>
      <c r="L374" s="89">
        <f t="shared" si="41"/>
        <v>5735</v>
      </c>
      <c r="M374" s="113">
        <f>SUM(M375,M376,M377)</f>
        <v>0</v>
      </c>
      <c r="N374" s="113">
        <f>SUM(N375,N376,N377)</f>
        <v>5735</v>
      </c>
      <c r="O374" s="15"/>
      <c r="P374" s="15"/>
    </row>
    <row r="375" spans="1:16" s="11" customFormat="1" ht="69">
      <c r="A375" s="94" t="s">
        <v>80</v>
      </c>
      <c r="B375" s="187" t="s">
        <v>79</v>
      </c>
      <c r="C375" s="33" t="s">
        <v>237</v>
      </c>
      <c r="D375" s="33" t="s">
        <v>399</v>
      </c>
      <c r="E375" s="33" t="s">
        <v>71</v>
      </c>
      <c r="F375" s="46">
        <f t="shared" si="39"/>
        <v>0</v>
      </c>
      <c r="G375" s="51"/>
      <c r="H375" s="51"/>
      <c r="I375" s="48">
        <f t="shared" si="40"/>
        <v>0</v>
      </c>
      <c r="J375" s="52"/>
      <c r="K375" s="269"/>
      <c r="L375" s="39">
        <f t="shared" si="41"/>
        <v>0</v>
      </c>
      <c r="M375" s="53"/>
      <c r="N375" s="53"/>
      <c r="O375" s="15"/>
      <c r="P375" s="15"/>
    </row>
    <row r="376" spans="1:16" s="11" customFormat="1" ht="82.5">
      <c r="A376" s="93" t="s">
        <v>82</v>
      </c>
      <c r="B376" s="193" t="s">
        <v>81</v>
      </c>
      <c r="C376" s="33" t="s">
        <v>237</v>
      </c>
      <c r="D376" s="33" t="s">
        <v>399</v>
      </c>
      <c r="E376" s="33" t="s">
        <v>71</v>
      </c>
      <c r="F376" s="46">
        <f t="shared" si="39"/>
        <v>5633</v>
      </c>
      <c r="G376" s="51"/>
      <c r="H376" s="51">
        <v>5633</v>
      </c>
      <c r="I376" s="48">
        <f>SUM(J376:K376)</f>
        <v>5633</v>
      </c>
      <c r="J376" s="52"/>
      <c r="K376" s="269">
        <v>5633</v>
      </c>
      <c r="L376" s="39">
        <f t="shared" si="41"/>
        <v>5689</v>
      </c>
      <c r="M376" s="53"/>
      <c r="N376" s="53">
        <f>5689</f>
        <v>5689</v>
      </c>
      <c r="O376" s="15"/>
      <c r="P376" s="15"/>
    </row>
    <row r="377" spans="1:16" s="11" customFormat="1" ht="82.5">
      <c r="A377" s="93" t="s">
        <v>82</v>
      </c>
      <c r="B377" s="193" t="s">
        <v>81</v>
      </c>
      <c r="C377" s="33" t="s">
        <v>238</v>
      </c>
      <c r="D377" s="33" t="s">
        <v>399</v>
      </c>
      <c r="E377" s="33" t="s">
        <v>71</v>
      </c>
      <c r="F377" s="46">
        <f t="shared" si="39"/>
        <v>46</v>
      </c>
      <c r="G377" s="51"/>
      <c r="H377" s="51">
        <v>46</v>
      </c>
      <c r="I377" s="48">
        <f>SUM(J377:K377)</f>
        <v>46</v>
      </c>
      <c r="J377" s="52"/>
      <c r="K377" s="269">
        <v>46</v>
      </c>
      <c r="L377" s="39">
        <f t="shared" si="41"/>
        <v>46</v>
      </c>
      <c r="M377" s="53"/>
      <c r="N377" s="53">
        <f>46</f>
        <v>46</v>
      </c>
      <c r="O377" s="15"/>
      <c r="P377" s="15"/>
    </row>
    <row r="378" spans="1:16" s="11" customFormat="1" ht="41.25">
      <c r="A378" s="93" t="s">
        <v>83</v>
      </c>
      <c r="B378" s="199" t="s">
        <v>84</v>
      </c>
      <c r="C378" s="33"/>
      <c r="D378" s="30"/>
      <c r="E378" s="31"/>
      <c r="F378" s="46">
        <f t="shared" si="39"/>
        <v>1186</v>
      </c>
      <c r="G378" s="64">
        <f>SUM(G379,G380)</f>
        <v>0</v>
      </c>
      <c r="H378" s="64">
        <f>SUM(H379,H380)</f>
        <v>1186</v>
      </c>
      <c r="I378" s="88">
        <f>SUM(J378:K378)</f>
        <v>1186</v>
      </c>
      <c r="J378" s="112">
        <f>SUM(J379,J380)</f>
        <v>0</v>
      </c>
      <c r="K378" s="112">
        <f>SUM(K379,K380)</f>
        <v>1186</v>
      </c>
      <c r="L378" s="89">
        <f t="shared" si="41"/>
        <v>1196</v>
      </c>
      <c r="M378" s="113">
        <f>SUM(M379,M380)</f>
        <v>0</v>
      </c>
      <c r="N378" s="113">
        <f>SUM(N379,N380)</f>
        <v>1196</v>
      </c>
      <c r="O378" s="15"/>
      <c r="P378" s="15"/>
    </row>
    <row r="379" spans="1:16" s="11" customFormat="1" ht="41.25">
      <c r="A379" s="93" t="s">
        <v>86</v>
      </c>
      <c r="B379" s="193" t="s">
        <v>85</v>
      </c>
      <c r="C379" s="33" t="s">
        <v>237</v>
      </c>
      <c r="D379" s="33" t="s">
        <v>399</v>
      </c>
      <c r="E379" s="33" t="s">
        <v>71</v>
      </c>
      <c r="F379" s="46">
        <f t="shared" si="39"/>
        <v>1010</v>
      </c>
      <c r="G379" s="51"/>
      <c r="H379" s="51">
        <v>1010</v>
      </c>
      <c r="I379" s="48">
        <f t="shared" si="40"/>
        <v>1010</v>
      </c>
      <c r="J379" s="52"/>
      <c r="K379" s="269">
        <v>1010</v>
      </c>
      <c r="L379" s="39">
        <f t="shared" si="41"/>
        <v>1010</v>
      </c>
      <c r="M379" s="53"/>
      <c r="N379" s="53">
        <f>1010</f>
        <v>1010</v>
      </c>
      <c r="O379" s="15"/>
      <c r="P379" s="15"/>
    </row>
    <row r="380" spans="1:16" s="11" customFormat="1" ht="41.25">
      <c r="A380" s="93" t="s">
        <v>86</v>
      </c>
      <c r="B380" s="193" t="s">
        <v>85</v>
      </c>
      <c r="C380" s="33" t="s">
        <v>238</v>
      </c>
      <c r="D380" s="33" t="s">
        <v>399</v>
      </c>
      <c r="E380" s="33" t="s">
        <v>71</v>
      </c>
      <c r="F380" s="46">
        <f t="shared" si="39"/>
        <v>176</v>
      </c>
      <c r="G380" s="51"/>
      <c r="H380" s="51">
        <v>176</v>
      </c>
      <c r="I380" s="48">
        <f t="shared" si="40"/>
        <v>176</v>
      </c>
      <c r="J380" s="52"/>
      <c r="K380" s="269">
        <v>176</v>
      </c>
      <c r="L380" s="39">
        <f t="shared" si="41"/>
        <v>186</v>
      </c>
      <c r="M380" s="53"/>
      <c r="N380" s="53">
        <f>186</f>
        <v>186</v>
      </c>
      <c r="O380" s="15"/>
      <c r="P380" s="15"/>
    </row>
    <row r="381" spans="1:16" s="11" customFormat="1" ht="54.75">
      <c r="A381" s="107" t="s">
        <v>87</v>
      </c>
      <c r="B381" s="199" t="s">
        <v>88</v>
      </c>
      <c r="C381" s="33"/>
      <c r="D381" s="30"/>
      <c r="E381" s="31"/>
      <c r="F381" s="46">
        <f t="shared" si="39"/>
        <v>6909</v>
      </c>
      <c r="G381" s="64">
        <f>SUM(G382)</f>
        <v>0</v>
      </c>
      <c r="H381" s="64">
        <f>SUM(H382)</f>
        <v>6909</v>
      </c>
      <c r="I381" s="88">
        <f t="shared" si="40"/>
        <v>6909</v>
      </c>
      <c r="J381" s="112">
        <f>SUM(J382)</f>
        <v>0</v>
      </c>
      <c r="K381" s="112">
        <f>SUM(K382)</f>
        <v>6909</v>
      </c>
      <c r="L381" s="89">
        <f t="shared" si="41"/>
        <v>6970</v>
      </c>
      <c r="M381" s="113">
        <f>SUM(M382)</f>
        <v>0</v>
      </c>
      <c r="N381" s="113">
        <f>SUM(N382)</f>
        <v>6970</v>
      </c>
      <c r="O381" s="15"/>
      <c r="P381" s="15"/>
    </row>
    <row r="382" spans="1:14" s="28" customFormat="1" ht="56.25" customHeight="1">
      <c r="A382" s="94" t="s">
        <v>90</v>
      </c>
      <c r="B382" s="193" t="s">
        <v>89</v>
      </c>
      <c r="C382" s="33" t="s">
        <v>274</v>
      </c>
      <c r="D382" s="33" t="s">
        <v>399</v>
      </c>
      <c r="E382" s="33" t="s">
        <v>71</v>
      </c>
      <c r="F382" s="46">
        <f t="shared" si="39"/>
        <v>6909</v>
      </c>
      <c r="G382" s="51"/>
      <c r="H382" s="51">
        <v>6909</v>
      </c>
      <c r="I382" s="48">
        <f t="shared" si="40"/>
        <v>6909</v>
      </c>
      <c r="J382" s="52"/>
      <c r="K382" s="269">
        <v>6909</v>
      </c>
      <c r="L382" s="39">
        <f t="shared" si="41"/>
        <v>6970</v>
      </c>
      <c r="M382" s="53"/>
      <c r="N382" s="53">
        <f>6970</f>
        <v>6970</v>
      </c>
    </row>
    <row r="383" spans="1:14" s="28" customFormat="1" ht="41.25">
      <c r="A383" s="107" t="s">
        <v>91</v>
      </c>
      <c r="B383" s="199" t="s">
        <v>92</v>
      </c>
      <c r="C383" s="33"/>
      <c r="D383" s="30"/>
      <c r="E383" s="31"/>
      <c r="F383" s="46">
        <f t="shared" si="39"/>
        <v>8</v>
      </c>
      <c r="G383" s="69">
        <f>SUM(G384)</f>
        <v>0</v>
      </c>
      <c r="H383" s="69">
        <f>SUM(H384)</f>
        <v>8</v>
      </c>
      <c r="I383" s="88">
        <f t="shared" si="40"/>
        <v>8</v>
      </c>
      <c r="J383" s="109">
        <f>SUM(J384)</f>
        <v>0</v>
      </c>
      <c r="K383" s="109">
        <f>SUM(K384)</f>
        <v>8</v>
      </c>
      <c r="L383" s="89">
        <f t="shared" si="41"/>
        <v>8</v>
      </c>
      <c r="M383" s="110">
        <f>SUM(M384)</f>
        <v>0</v>
      </c>
      <c r="N383" s="110">
        <f>SUM(N384)</f>
        <v>8</v>
      </c>
    </row>
    <row r="384" spans="1:16" s="11" customFormat="1" ht="41.25">
      <c r="A384" s="94" t="s">
        <v>112</v>
      </c>
      <c r="B384" s="193" t="s">
        <v>93</v>
      </c>
      <c r="C384" s="33" t="s">
        <v>274</v>
      </c>
      <c r="D384" s="33" t="s">
        <v>399</v>
      </c>
      <c r="E384" s="33" t="s">
        <v>71</v>
      </c>
      <c r="F384" s="46">
        <f t="shared" si="39"/>
        <v>8</v>
      </c>
      <c r="G384" s="46"/>
      <c r="H384" s="46">
        <v>8</v>
      </c>
      <c r="I384" s="48">
        <f t="shared" si="40"/>
        <v>8</v>
      </c>
      <c r="J384" s="48"/>
      <c r="K384" s="273">
        <v>8</v>
      </c>
      <c r="L384" s="39">
        <f t="shared" si="41"/>
        <v>8</v>
      </c>
      <c r="M384" s="39"/>
      <c r="N384" s="39">
        <f>8</f>
        <v>8</v>
      </c>
      <c r="O384" s="15"/>
      <c r="P384" s="15"/>
    </row>
    <row r="385" spans="1:16" s="11" customFormat="1" ht="41.25">
      <c r="A385" s="94" t="s">
        <v>434</v>
      </c>
      <c r="B385" s="193" t="s">
        <v>433</v>
      </c>
      <c r="C385" s="33"/>
      <c r="D385" s="33"/>
      <c r="E385" s="33"/>
      <c r="F385" s="46">
        <f t="shared" si="39"/>
        <v>872</v>
      </c>
      <c r="G385" s="46">
        <f>SUM(G386)</f>
        <v>872</v>
      </c>
      <c r="H385" s="46">
        <f>SUM(H386)</f>
        <v>0</v>
      </c>
      <c r="I385" s="88">
        <f t="shared" si="40"/>
        <v>901</v>
      </c>
      <c r="J385" s="88">
        <f>SUM(J386)</f>
        <v>901</v>
      </c>
      <c r="K385" s="88">
        <f>SUM(K386)</f>
        <v>0</v>
      </c>
      <c r="L385" s="89">
        <f t="shared" si="41"/>
        <v>938</v>
      </c>
      <c r="M385" s="89">
        <f>SUM(M386)</f>
        <v>938</v>
      </c>
      <c r="N385" s="89">
        <f>SUM(N386)</f>
        <v>0</v>
      </c>
      <c r="O385" s="15"/>
      <c r="P385" s="15"/>
    </row>
    <row r="386" spans="1:14" s="23" customFormat="1" ht="27">
      <c r="A386" s="145" t="s">
        <v>33</v>
      </c>
      <c r="B386" s="201" t="s">
        <v>432</v>
      </c>
      <c r="C386" s="62" t="s">
        <v>237</v>
      </c>
      <c r="D386" s="62" t="s">
        <v>399</v>
      </c>
      <c r="E386" s="62" t="s">
        <v>71</v>
      </c>
      <c r="F386" s="46">
        <f>SUM(G386:H386)</f>
        <v>872</v>
      </c>
      <c r="G386" s="46">
        <f>872</f>
        <v>872</v>
      </c>
      <c r="H386" s="46"/>
      <c r="I386" s="88">
        <f>SUM(J386:K386)</f>
        <v>901</v>
      </c>
      <c r="J386" s="88">
        <f>901</f>
        <v>901</v>
      </c>
      <c r="K386" s="88"/>
      <c r="L386" s="89">
        <f>SUM(M386:N386)</f>
        <v>938</v>
      </c>
      <c r="M386" s="89">
        <f>938</f>
        <v>938</v>
      </c>
      <c r="N386" s="89"/>
    </row>
    <row r="387" spans="1:16" s="11" customFormat="1" ht="13.5">
      <c r="A387" s="94"/>
      <c r="B387" s="193"/>
      <c r="C387" s="33"/>
      <c r="D387" s="33"/>
      <c r="E387" s="33"/>
      <c r="F387" s="46"/>
      <c r="G387" s="46"/>
      <c r="H387" s="46"/>
      <c r="I387" s="48"/>
      <c r="J387" s="48"/>
      <c r="K387" s="273"/>
      <c r="L387" s="39"/>
      <c r="M387" s="39"/>
      <c r="N387" s="39"/>
      <c r="O387" s="15"/>
      <c r="P387" s="15"/>
    </row>
    <row r="388" spans="1:16" s="11" customFormat="1" ht="54.75">
      <c r="A388" s="114" t="s">
        <v>113</v>
      </c>
      <c r="B388" s="198" t="s">
        <v>251</v>
      </c>
      <c r="C388" s="42"/>
      <c r="D388" s="34"/>
      <c r="E388" s="42"/>
      <c r="F388" s="73">
        <f t="shared" si="39"/>
        <v>456722</v>
      </c>
      <c r="G388" s="74">
        <f>SUM(G389,G399,G410,G415,G424)</f>
        <v>456569</v>
      </c>
      <c r="H388" s="74">
        <f>SUM(H389,H399,H410,H415,H424)</f>
        <v>153</v>
      </c>
      <c r="I388" s="91">
        <f t="shared" si="40"/>
        <v>469804</v>
      </c>
      <c r="J388" s="75">
        <f>SUM(J389,J399,J410,J415,J424)</f>
        <v>469651</v>
      </c>
      <c r="K388" s="75">
        <f>SUM(K389,K399,K410,K415,K424)</f>
        <v>153</v>
      </c>
      <c r="L388" s="92">
        <f t="shared" si="41"/>
        <v>486310</v>
      </c>
      <c r="M388" s="76">
        <f>SUM(M389,M399,M410,M415,M424)</f>
        <v>486310</v>
      </c>
      <c r="N388" s="76">
        <f>SUM(N389,N399,N410,N415,N424)</f>
        <v>0</v>
      </c>
      <c r="O388" s="15"/>
      <c r="P388" s="15"/>
    </row>
    <row r="389" spans="1:14" s="22" customFormat="1" ht="27">
      <c r="A389" s="41" t="s">
        <v>114</v>
      </c>
      <c r="B389" s="194" t="s">
        <v>115</v>
      </c>
      <c r="C389" s="42"/>
      <c r="D389" s="34"/>
      <c r="E389" s="42"/>
      <c r="F389" s="73">
        <f t="shared" si="39"/>
        <v>56441</v>
      </c>
      <c r="G389" s="95">
        <f>SUM(G390,G394,G397)</f>
        <v>56288</v>
      </c>
      <c r="H389" s="95">
        <f>SUM(H390,H394,H397)</f>
        <v>153</v>
      </c>
      <c r="I389" s="91">
        <f t="shared" si="40"/>
        <v>59266</v>
      </c>
      <c r="J389" s="96">
        <f>SUM(J390,J394,J397)</f>
        <v>59113</v>
      </c>
      <c r="K389" s="96">
        <f>SUM(K390,K394,K397)</f>
        <v>153</v>
      </c>
      <c r="L389" s="92">
        <f t="shared" si="41"/>
        <v>62168</v>
      </c>
      <c r="M389" s="97">
        <f>SUM(M390,M394,M397)</f>
        <v>62168</v>
      </c>
      <c r="N389" s="97">
        <f>SUM(N390,N394,N397)</f>
        <v>0</v>
      </c>
    </row>
    <row r="390" spans="1:16" s="11" customFormat="1" ht="47.25" customHeight="1">
      <c r="A390" s="93" t="s">
        <v>504</v>
      </c>
      <c r="B390" s="186" t="s">
        <v>116</v>
      </c>
      <c r="C390" s="33"/>
      <c r="D390" s="30"/>
      <c r="E390" s="31"/>
      <c r="F390" s="46">
        <f t="shared" si="39"/>
        <v>53631</v>
      </c>
      <c r="G390" s="64">
        <f>SUM(G391,G392,G393)</f>
        <v>53631</v>
      </c>
      <c r="H390" s="64">
        <f>SUM(H391,H392,H393)</f>
        <v>0</v>
      </c>
      <c r="I390" s="88">
        <f t="shared" si="40"/>
        <v>56513</v>
      </c>
      <c r="J390" s="112">
        <f>SUM(J391,J392,J393)</f>
        <v>56513</v>
      </c>
      <c r="K390" s="112">
        <f>SUM(K391,K392,K393)</f>
        <v>0</v>
      </c>
      <c r="L390" s="89">
        <f t="shared" si="41"/>
        <v>59568</v>
      </c>
      <c r="M390" s="113">
        <f>SUM(M391,M392,M393)</f>
        <v>59568</v>
      </c>
      <c r="N390" s="113">
        <f>SUM(N391,N392,N393)</f>
        <v>0</v>
      </c>
      <c r="O390" s="15"/>
      <c r="P390" s="15"/>
    </row>
    <row r="391" spans="1:16" s="11" customFormat="1" ht="41.25">
      <c r="A391" s="93" t="s">
        <v>466</v>
      </c>
      <c r="B391" s="196" t="s">
        <v>117</v>
      </c>
      <c r="C391" s="33" t="s">
        <v>274</v>
      </c>
      <c r="D391" s="33" t="s">
        <v>251</v>
      </c>
      <c r="E391" s="33" t="s">
        <v>218</v>
      </c>
      <c r="F391" s="46">
        <f t="shared" si="39"/>
        <v>45980</v>
      </c>
      <c r="G391" s="46">
        <f>45980</f>
        <v>45980</v>
      </c>
      <c r="H391" s="46"/>
      <c r="I391" s="48">
        <f t="shared" si="40"/>
        <v>48862</v>
      </c>
      <c r="J391" s="48">
        <f>48862</f>
        <v>48862</v>
      </c>
      <c r="K391" s="273"/>
      <c r="L391" s="39">
        <f t="shared" si="41"/>
        <v>51917</v>
      </c>
      <c r="M391" s="39">
        <f>51917</f>
        <v>51917</v>
      </c>
      <c r="N391" s="39"/>
      <c r="O391" s="15"/>
      <c r="P391" s="15"/>
    </row>
    <row r="392" spans="1:16" s="11" customFormat="1" ht="69">
      <c r="A392" s="63" t="s">
        <v>119</v>
      </c>
      <c r="B392" s="197" t="s">
        <v>118</v>
      </c>
      <c r="C392" s="33" t="s">
        <v>274</v>
      </c>
      <c r="D392" s="33" t="s">
        <v>251</v>
      </c>
      <c r="E392" s="33" t="s">
        <v>218</v>
      </c>
      <c r="F392" s="46">
        <f t="shared" si="39"/>
        <v>0</v>
      </c>
      <c r="G392" s="46"/>
      <c r="H392" s="46"/>
      <c r="I392" s="48">
        <f t="shared" si="40"/>
        <v>0</v>
      </c>
      <c r="J392" s="48"/>
      <c r="K392" s="112"/>
      <c r="L392" s="39">
        <f t="shared" si="41"/>
        <v>0</v>
      </c>
      <c r="M392" s="39"/>
      <c r="N392" s="113"/>
      <c r="O392" s="15"/>
      <c r="P392" s="15"/>
    </row>
    <row r="393" spans="1:16" s="11" customFormat="1" ht="56.25" customHeight="1">
      <c r="A393" s="217" t="s">
        <v>300</v>
      </c>
      <c r="B393" s="218" t="s">
        <v>301</v>
      </c>
      <c r="C393" s="166" t="s">
        <v>274</v>
      </c>
      <c r="D393" s="166" t="s">
        <v>251</v>
      </c>
      <c r="E393" s="166" t="s">
        <v>218</v>
      </c>
      <c r="F393" s="167">
        <f>SUM(G393:H393)</f>
        <v>7651</v>
      </c>
      <c r="G393" s="167">
        <f>7651</f>
        <v>7651</v>
      </c>
      <c r="H393" s="167"/>
      <c r="I393" s="169">
        <f>SUM(J393:K393)</f>
        <v>7651</v>
      </c>
      <c r="J393" s="169">
        <f>7651</f>
        <v>7651</v>
      </c>
      <c r="K393" s="169"/>
      <c r="L393" s="171">
        <f>SUM(M393:N393)</f>
        <v>7651</v>
      </c>
      <c r="M393" s="171">
        <f>7651</f>
        <v>7651</v>
      </c>
      <c r="N393" s="171"/>
      <c r="O393" s="15"/>
      <c r="P393" s="15"/>
    </row>
    <row r="394" spans="1:16" s="11" customFormat="1" ht="41.25">
      <c r="A394" s="63" t="s">
        <v>120</v>
      </c>
      <c r="B394" s="186" t="s">
        <v>121</v>
      </c>
      <c r="C394" s="33"/>
      <c r="D394" s="30"/>
      <c r="E394" s="31"/>
      <c r="F394" s="46">
        <f t="shared" si="39"/>
        <v>1753</v>
      </c>
      <c r="G394" s="64">
        <f>SUM(G395,G396,)</f>
        <v>1600</v>
      </c>
      <c r="H394" s="64">
        <f>SUM(H395,H396,)</f>
        <v>153</v>
      </c>
      <c r="I394" s="88">
        <f t="shared" si="40"/>
        <v>1753</v>
      </c>
      <c r="J394" s="112">
        <f>SUM(J395,J396,)</f>
        <v>1600</v>
      </c>
      <c r="K394" s="112">
        <f>SUM(K395,K396,)</f>
        <v>153</v>
      </c>
      <c r="L394" s="89">
        <f t="shared" si="41"/>
        <v>1600</v>
      </c>
      <c r="M394" s="113">
        <f>SUM(M395,M396,)</f>
        <v>1600</v>
      </c>
      <c r="N394" s="113">
        <f>SUM(N395,N396,)</f>
        <v>0</v>
      </c>
      <c r="O394" s="15"/>
      <c r="P394" s="15"/>
    </row>
    <row r="395" spans="1:14" s="28" customFormat="1" ht="27">
      <c r="A395" s="284" t="s">
        <v>435</v>
      </c>
      <c r="B395" s="204" t="s">
        <v>436</v>
      </c>
      <c r="C395" s="62" t="s">
        <v>274</v>
      </c>
      <c r="D395" s="33" t="s">
        <v>251</v>
      </c>
      <c r="E395" s="33" t="s">
        <v>218</v>
      </c>
      <c r="F395" s="46">
        <f>SUM(G395:H395)</f>
        <v>1600</v>
      </c>
      <c r="G395" s="46">
        <f>1600</f>
        <v>1600</v>
      </c>
      <c r="H395" s="46"/>
      <c r="I395" s="88">
        <f>SUM(J395:K395)</f>
        <v>1600</v>
      </c>
      <c r="J395" s="88">
        <f>1600</f>
        <v>1600</v>
      </c>
      <c r="K395" s="88"/>
      <c r="L395" s="89">
        <f>SUM(M395:N395)</f>
        <v>1600</v>
      </c>
      <c r="M395" s="89">
        <f>1600</f>
        <v>1600</v>
      </c>
      <c r="N395" s="89"/>
    </row>
    <row r="396" spans="1:16" s="11" customFormat="1" ht="41.25">
      <c r="A396" s="63" t="s">
        <v>129</v>
      </c>
      <c r="B396" s="193" t="s">
        <v>128</v>
      </c>
      <c r="C396" s="33" t="s">
        <v>274</v>
      </c>
      <c r="D396" s="33" t="s">
        <v>251</v>
      </c>
      <c r="E396" s="33" t="s">
        <v>218</v>
      </c>
      <c r="F396" s="46">
        <f>SUM(G396:H396)</f>
        <v>153</v>
      </c>
      <c r="G396" s="46"/>
      <c r="H396" s="46">
        <v>153</v>
      </c>
      <c r="I396" s="48">
        <f>SUM(J396:K396)</f>
        <v>153</v>
      </c>
      <c r="J396" s="48"/>
      <c r="K396" s="273">
        <v>153</v>
      </c>
      <c r="L396" s="39">
        <f>SUM(M396:N396)</f>
        <v>0</v>
      </c>
      <c r="M396" s="39"/>
      <c r="N396" s="39"/>
      <c r="O396" s="15"/>
      <c r="P396" s="15"/>
    </row>
    <row r="397" spans="1:16" s="11" customFormat="1" ht="41.25">
      <c r="A397" s="63" t="s">
        <v>130</v>
      </c>
      <c r="B397" s="186" t="s">
        <v>131</v>
      </c>
      <c r="C397" s="33"/>
      <c r="D397" s="30"/>
      <c r="E397" s="31"/>
      <c r="F397" s="46">
        <f t="shared" si="39"/>
        <v>1057</v>
      </c>
      <c r="G397" s="36">
        <f>SUM(G398)</f>
        <v>1057</v>
      </c>
      <c r="H397" s="36">
        <f>SUM(H398)</f>
        <v>0</v>
      </c>
      <c r="I397" s="88">
        <f>SUM(J397:K397)</f>
        <v>1000</v>
      </c>
      <c r="J397" s="77">
        <f>SUM(J398)</f>
        <v>1000</v>
      </c>
      <c r="K397" s="77">
        <f>SUM(K398)</f>
        <v>0</v>
      </c>
      <c r="L397" s="89">
        <f>SUM(M397:N397)</f>
        <v>1000</v>
      </c>
      <c r="M397" s="78">
        <f>SUM(M398)</f>
        <v>1000</v>
      </c>
      <c r="N397" s="78">
        <f>SUM(N398)</f>
        <v>0</v>
      </c>
      <c r="O397" s="15"/>
      <c r="P397" s="15"/>
    </row>
    <row r="398" spans="1:16" s="11" customFormat="1" ht="41.25">
      <c r="A398" s="93" t="s">
        <v>133</v>
      </c>
      <c r="B398" s="193" t="s">
        <v>132</v>
      </c>
      <c r="C398" s="33" t="s">
        <v>274</v>
      </c>
      <c r="D398" s="33" t="s">
        <v>251</v>
      </c>
      <c r="E398" s="33" t="s">
        <v>218</v>
      </c>
      <c r="F398" s="46">
        <f t="shared" si="39"/>
        <v>1057</v>
      </c>
      <c r="G398" s="46">
        <f>1057</f>
        <v>1057</v>
      </c>
      <c r="H398" s="46"/>
      <c r="I398" s="48">
        <f t="shared" si="40"/>
        <v>1000</v>
      </c>
      <c r="J398" s="48">
        <f>1000</f>
        <v>1000</v>
      </c>
      <c r="K398" s="273"/>
      <c r="L398" s="39">
        <f t="shared" si="41"/>
        <v>1000</v>
      </c>
      <c r="M398" s="39">
        <f>1000</f>
        <v>1000</v>
      </c>
      <c r="N398" s="39"/>
      <c r="O398" s="15"/>
      <c r="P398" s="15"/>
    </row>
    <row r="399" spans="1:14" s="9" customFormat="1" ht="43.5" customHeight="1">
      <c r="A399" s="106" t="s">
        <v>134</v>
      </c>
      <c r="B399" s="194" t="s">
        <v>135</v>
      </c>
      <c r="C399" s="42"/>
      <c r="D399" s="34"/>
      <c r="E399" s="42"/>
      <c r="F399" s="73">
        <f t="shared" si="39"/>
        <v>87272</v>
      </c>
      <c r="G399" s="43">
        <f>SUM(G400,G404,G407)</f>
        <v>87272</v>
      </c>
      <c r="H399" s="43">
        <f>SUM(H400,H404,H407)</f>
        <v>0</v>
      </c>
      <c r="I399" s="91">
        <f t="shared" si="40"/>
        <v>90431</v>
      </c>
      <c r="J399" s="80">
        <f>SUM(J400,J404,J407)</f>
        <v>90431</v>
      </c>
      <c r="K399" s="80">
        <f>SUM(K400,K404,K407)</f>
        <v>0</v>
      </c>
      <c r="L399" s="92">
        <f t="shared" si="41"/>
        <v>94840</v>
      </c>
      <c r="M399" s="81">
        <f>SUM(M400,M404,M407)</f>
        <v>94840</v>
      </c>
      <c r="N399" s="81">
        <f>SUM(N400,N404,N407)</f>
        <v>0</v>
      </c>
    </row>
    <row r="400" spans="1:16" s="11" customFormat="1" ht="33" customHeight="1">
      <c r="A400" s="54" t="s">
        <v>136</v>
      </c>
      <c r="B400" s="196" t="s">
        <v>137</v>
      </c>
      <c r="C400" s="33"/>
      <c r="D400" s="30"/>
      <c r="E400" s="31"/>
      <c r="F400" s="46">
        <f t="shared" si="39"/>
        <v>77136</v>
      </c>
      <c r="G400" s="36">
        <f>SUM(G401,G402,G403)</f>
        <v>77136</v>
      </c>
      <c r="H400" s="36">
        <f>SUM(H401,H402,H403)</f>
        <v>0</v>
      </c>
      <c r="I400" s="88">
        <f t="shared" si="40"/>
        <v>81295</v>
      </c>
      <c r="J400" s="77">
        <f>SUM(J401,J402,J403)</f>
        <v>81295</v>
      </c>
      <c r="K400" s="77">
        <f>SUM(K401,K402,K403)</f>
        <v>0</v>
      </c>
      <c r="L400" s="89">
        <f t="shared" si="41"/>
        <v>85704</v>
      </c>
      <c r="M400" s="78">
        <f>SUM(M401,M402,M403)</f>
        <v>85704</v>
      </c>
      <c r="N400" s="78">
        <f>SUM(N401,N402,N403)</f>
        <v>0</v>
      </c>
      <c r="O400" s="15"/>
      <c r="P400" s="15"/>
    </row>
    <row r="401" spans="1:16" s="11" customFormat="1" ht="41.25">
      <c r="A401" s="151" t="s">
        <v>466</v>
      </c>
      <c r="B401" s="193" t="s">
        <v>138</v>
      </c>
      <c r="C401" s="33" t="s">
        <v>274</v>
      </c>
      <c r="D401" s="33" t="s">
        <v>251</v>
      </c>
      <c r="E401" s="33" t="s">
        <v>218</v>
      </c>
      <c r="F401" s="46">
        <f t="shared" si="39"/>
        <v>77136</v>
      </c>
      <c r="G401" s="68">
        <f>77136</f>
        <v>77136</v>
      </c>
      <c r="H401" s="46"/>
      <c r="I401" s="48">
        <f t="shared" si="40"/>
        <v>81295</v>
      </c>
      <c r="J401" s="48">
        <f>81295</f>
        <v>81295</v>
      </c>
      <c r="K401" s="273"/>
      <c r="L401" s="39">
        <f t="shared" si="41"/>
        <v>85704</v>
      </c>
      <c r="M401" s="39">
        <f>85704</f>
        <v>85704</v>
      </c>
      <c r="N401" s="39"/>
      <c r="O401" s="15"/>
      <c r="P401" s="15"/>
    </row>
    <row r="402" spans="1:16" s="11" customFormat="1" ht="69">
      <c r="A402" s="63" t="s">
        <v>119</v>
      </c>
      <c r="B402" s="193" t="s">
        <v>139</v>
      </c>
      <c r="C402" s="33" t="s">
        <v>274</v>
      </c>
      <c r="D402" s="33" t="s">
        <v>251</v>
      </c>
      <c r="E402" s="33" t="s">
        <v>218</v>
      </c>
      <c r="F402" s="46">
        <f t="shared" si="39"/>
        <v>0</v>
      </c>
      <c r="G402" s="46"/>
      <c r="H402" s="46"/>
      <c r="I402" s="48">
        <f t="shared" si="40"/>
        <v>0</v>
      </c>
      <c r="J402" s="48"/>
      <c r="K402" s="276"/>
      <c r="L402" s="39">
        <f t="shared" si="41"/>
        <v>0</v>
      </c>
      <c r="M402" s="39"/>
      <c r="N402" s="40"/>
      <c r="O402" s="15"/>
      <c r="P402" s="15"/>
    </row>
    <row r="403" spans="1:16" s="11" customFormat="1" ht="82.5">
      <c r="A403" s="217" t="s">
        <v>300</v>
      </c>
      <c r="B403" s="219" t="s">
        <v>302</v>
      </c>
      <c r="C403" s="166" t="s">
        <v>274</v>
      </c>
      <c r="D403" s="166" t="s">
        <v>251</v>
      </c>
      <c r="E403" s="166" t="s">
        <v>218</v>
      </c>
      <c r="F403" s="167">
        <f>SUM(G403:H403)</f>
        <v>0</v>
      </c>
      <c r="G403" s="167"/>
      <c r="H403" s="167"/>
      <c r="I403" s="169">
        <f>SUM(J403:K403)</f>
        <v>0</v>
      </c>
      <c r="J403" s="169"/>
      <c r="K403" s="169"/>
      <c r="L403" s="171">
        <f>SUM(M403:N403)</f>
        <v>0</v>
      </c>
      <c r="M403" s="171"/>
      <c r="N403" s="171"/>
      <c r="O403" s="15"/>
      <c r="P403" s="15"/>
    </row>
    <row r="404" spans="1:16" s="11" customFormat="1" ht="27">
      <c r="A404" s="63" t="s">
        <v>361</v>
      </c>
      <c r="B404" s="199" t="s">
        <v>140</v>
      </c>
      <c r="C404" s="33"/>
      <c r="D404" s="30"/>
      <c r="E404" s="31"/>
      <c r="F404" s="46">
        <f t="shared" si="39"/>
        <v>6730</v>
      </c>
      <c r="G404" s="36">
        <f>SUM(G405,G406)</f>
        <v>6730</v>
      </c>
      <c r="H404" s="36">
        <f>SUM(H405,H406)</f>
        <v>0</v>
      </c>
      <c r="I404" s="88">
        <f t="shared" si="40"/>
        <v>6730</v>
      </c>
      <c r="J404" s="77">
        <f>SUM(J405,J406)</f>
        <v>6730</v>
      </c>
      <c r="K404" s="77">
        <f>SUM(K405,K406)</f>
        <v>0</v>
      </c>
      <c r="L404" s="89">
        <f t="shared" si="41"/>
        <v>6730</v>
      </c>
      <c r="M404" s="78">
        <f>SUM(M405,M406)</f>
        <v>6730</v>
      </c>
      <c r="N404" s="78">
        <f>SUM(N405,N406)</f>
        <v>0</v>
      </c>
      <c r="O404" s="15"/>
      <c r="P404" s="15"/>
    </row>
    <row r="405" spans="1:16" s="11" customFormat="1" ht="13.5">
      <c r="A405" s="151" t="s">
        <v>142</v>
      </c>
      <c r="B405" s="193" t="s">
        <v>141</v>
      </c>
      <c r="C405" s="33" t="s">
        <v>238</v>
      </c>
      <c r="D405" s="33" t="s">
        <v>251</v>
      </c>
      <c r="E405" s="33" t="s">
        <v>218</v>
      </c>
      <c r="F405" s="46">
        <f t="shared" si="39"/>
        <v>2157</v>
      </c>
      <c r="G405" s="46">
        <f>2157</f>
        <v>2157</v>
      </c>
      <c r="H405" s="46"/>
      <c r="I405" s="48">
        <f t="shared" si="40"/>
        <v>2157</v>
      </c>
      <c r="J405" s="48">
        <f>2157</f>
        <v>2157</v>
      </c>
      <c r="K405" s="273"/>
      <c r="L405" s="39">
        <f t="shared" si="41"/>
        <v>2157</v>
      </c>
      <c r="M405" s="39">
        <f>2157</f>
        <v>2157</v>
      </c>
      <c r="N405" s="39"/>
      <c r="O405" s="15"/>
      <c r="P405" s="15"/>
    </row>
    <row r="406" spans="1:14" s="28" customFormat="1" ht="13.5">
      <c r="A406" s="151" t="s">
        <v>142</v>
      </c>
      <c r="B406" s="193" t="s">
        <v>141</v>
      </c>
      <c r="C406" s="33" t="s">
        <v>274</v>
      </c>
      <c r="D406" s="33" t="s">
        <v>251</v>
      </c>
      <c r="E406" s="33" t="s">
        <v>218</v>
      </c>
      <c r="F406" s="46">
        <f t="shared" si="39"/>
        <v>4573</v>
      </c>
      <c r="G406" s="46">
        <f>4573</f>
        <v>4573</v>
      </c>
      <c r="H406" s="46"/>
      <c r="I406" s="48">
        <f t="shared" si="40"/>
        <v>4573</v>
      </c>
      <c r="J406" s="48">
        <f>4573</f>
        <v>4573</v>
      </c>
      <c r="K406" s="273"/>
      <c r="L406" s="39">
        <f t="shared" si="41"/>
        <v>4573</v>
      </c>
      <c r="M406" s="39">
        <f>4573</f>
        <v>4573</v>
      </c>
      <c r="N406" s="39"/>
    </row>
    <row r="407" spans="1:16" s="11" customFormat="1" ht="54.75">
      <c r="A407" s="54" t="s">
        <v>143</v>
      </c>
      <c r="B407" s="186" t="s">
        <v>144</v>
      </c>
      <c r="C407" s="33"/>
      <c r="D407" s="30"/>
      <c r="E407" s="31"/>
      <c r="F407" s="46">
        <f t="shared" si="39"/>
        <v>3406</v>
      </c>
      <c r="G407" s="64">
        <f>SUM(G408,G409)</f>
        <v>3406</v>
      </c>
      <c r="H407" s="64">
        <f>SUM(H408,H409)</f>
        <v>0</v>
      </c>
      <c r="I407" s="88">
        <f t="shared" si="40"/>
        <v>2406</v>
      </c>
      <c r="J407" s="112">
        <f>SUM(J408,J409)</f>
        <v>2406</v>
      </c>
      <c r="K407" s="112">
        <f>SUM(K408,K409)</f>
        <v>0</v>
      </c>
      <c r="L407" s="89">
        <f t="shared" si="41"/>
        <v>2406</v>
      </c>
      <c r="M407" s="113">
        <f>SUM(M408,M409)</f>
        <v>2406</v>
      </c>
      <c r="N407" s="113">
        <f>SUM(N408,N409)</f>
        <v>0</v>
      </c>
      <c r="O407" s="15"/>
      <c r="P407" s="15"/>
    </row>
    <row r="408" spans="1:16" s="11" customFormat="1" ht="54.75">
      <c r="A408" s="145" t="s">
        <v>146</v>
      </c>
      <c r="B408" s="201" t="s">
        <v>145</v>
      </c>
      <c r="C408" s="62" t="s">
        <v>274</v>
      </c>
      <c r="D408" s="33" t="s">
        <v>251</v>
      </c>
      <c r="E408" s="33" t="s">
        <v>218</v>
      </c>
      <c r="F408" s="46">
        <f>SUM(G408:H408)</f>
        <v>3406</v>
      </c>
      <c r="G408" s="46">
        <f>3406</f>
        <v>3406</v>
      </c>
      <c r="H408" s="46"/>
      <c r="I408" s="88">
        <f>SUM(J408:K408)</f>
        <v>2406</v>
      </c>
      <c r="J408" s="88">
        <f>2406</f>
        <v>2406</v>
      </c>
      <c r="K408" s="88"/>
      <c r="L408" s="89">
        <f>SUM(M408:N408)</f>
        <v>2406</v>
      </c>
      <c r="M408" s="89">
        <f>2406</f>
        <v>2406</v>
      </c>
      <c r="N408" s="89"/>
      <c r="O408" s="15"/>
      <c r="P408" s="15"/>
    </row>
    <row r="409" spans="1:16" s="11" customFormat="1" ht="27">
      <c r="A409" s="54" t="s">
        <v>452</v>
      </c>
      <c r="B409" s="187" t="s">
        <v>147</v>
      </c>
      <c r="C409" s="33" t="s">
        <v>238</v>
      </c>
      <c r="D409" s="125" t="s">
        <v>251</v>
      </c>
      <c r="E409" s="33" t="s">
        <v>240</v>
      </c>
      <c r="F409" s="46">
        <f>SUM(G409:H409)</f>
        <v>0</v>
      </c>
      <c r="G409" s="51"/>
      <c r="H409" s="51"/>
      <c r="I409" s="88">
        <f>SUM(J409:K409)</f>
        <v>0</v>
      </c>
      <c r="J409" s="104"/>
      <c r="K409" s="104"/>
      <c r="L409" s="89">
        <f>SUM(M409:N409)</f>
        <v>0</v>
      </c>
      <c r="M409" s="105"/>
      <c r="N409" s="105"/>
      <c r="O409" s="15"/>
      <c r="P409" s="15"/>
    </row>
    <row r="410" spans="1:16" s="9" customFormat="1" ht="27">
      <c r="A410" s="114" t="s">
        <v>148</v>
      </c>
      <c r="B410" s="198" t="s">
        <v>149</v>
      </c>
      <c r="C410" s="42"/>
      <c r="D410" s="34"/>
      <c r="E410" s="42"/>
      <c r="F410" s="73">
        <f aca="true" t="shared" si="42" ref="F410:F480">SUM(G410:H410)</f>
        <v>261050</v>
      </c>
      <c r="G410" s="74">
        <f>SUM(G411,G413)</f>
        <v>261050</v>
      </c>
      <c r="H410" s="74">
        <f>SUM(H411,H413)</f>
        <v>0</v>
      </c>
      <c r="I410" s="91">
        <f>SUM(J410:K410)</f>
        <v>265854</v>
      </c>
      <c r="J410" s="75">
        <f>SUM(J411,J413)</f>
        <v>265854</v>
      </c>
      <c r="K410" s="75">
        <f>SUM(K411,K413)</f>
        <v>0</v>
      </c>
      <c r="L410" s="92">
        <f>SUM(M410:N410)</f>
        <v>273022</v>
      </c>
      <c r="M410" s="76">
        <f>SUM(M411,M413)</f>
        <v>273022</v>
      </c>
      <c r="N410" s="76">
        <f>SUM(N411,N413)</f>
        <v>0</v>
      </c>
      <c r="O410" s="23"/>
      <c r="P410" s="23"/>
    </row>
    <row r="411" spans="1:14" s="29" customFormat="1" ht="41.25">
      <c r="A411" s="93" t="s">
        <v>504</v>
      </c>
      <c r="B411" s="186" t="s">
        <v>150</v>
      </c>
      <c r="C411" s="33"/>
      <c r="D411" s="30"/>
      <c r="E411" s="31"/>
      <c r="F411" s="46">
        <f t="shared" si="42"/>
        <v>260204</v>
      </c>
      <c r="G411" s="64">
        <f>SUM(G412)</f>
        <v>260204</v>
      </c>
      <c r="H411" s="64">
        <f>SUM(H412)</f>
        <v>0</v>
      </c>
      <c r="I411" s="88">
        <f aca="true" t="shared" si="43" ref="I411:I480">SUM(J411:K411)</f>
        <v>265008</v>
      </c>
      <c r="J411" s="112">
        <f>SUM(J412)</f>
        <v>265008</v>
      </c>
      <c r="K411" s="112">
        <f>SUM(K412)</f>
        <v>0</v>
      </c>
      <c r="L411" s="89">
        <f aca="true" t="shared" si="44" ref="L411:L480">SUM(M411:N411)</f>
        <v>272176</v>
      </c>
      <c r="M411" s="113">
        <f>SUM(M412)</f>
        <v>272176</v>
      </c>
      <c r="N411" s="113">
        <f>SUM(N412)</f>
        <v>0</v>
      </c>
    </row>
    <row r="412" spans="1:16" s="9" customFormat="1" ht="60" customHeight="1">
      <c r="A412" s="93" t="s">
        <v>466</v>
      </c>
      <c r="B412" s="193" t="s">
        <v>151</v>
      </c>
      <c r="C412" s="33" t="s">
        <v>274</v>
      </c>
      <c r="D412" s="33" t="s">
        <v>241</v>
      </c>
      <c r="E412" s="33" t="s">
        <v>219</v>
      </c>
      <c r="F412" s="46">
        <f t="shared" si="42"/>
        <v>260204</v>
      </c>
      <c r="G412" s="46">
        <f>260204</f>
        <v>260204</v>
      </c>
      <c r="H412" s="46"/>
      <c r="I412" s="48">
        <f t="shared" si="43"/>
        <v>265008</v>
      </c>
      <c r="J412" s="48">
        <f>265008</f>
        <v>265008</v>
      </c>
      <c r="K412" s="273"/>
      <c r="L412" s="39">
        <f t="shared" si="44"/>
        <v>272176</v>
      </c>
      <c r="M412" s="39">
        <f>272176</f>
        <v>272176</v>
      </c>
      <c r="N412" s="39"/>
      <c r="O412" s="23"/>
      <c r="P412" s="23"/>
    </row>
    <row r="413" spans="1:16" s="11" customFormat="1" ht="27">
      <c r="A413" s="63" t="s">
        <v>152</v>
      </c>
      <c r="B413" s="199" t="s">
        <v>153</v>
      </c>
      <c r="C413" s="33"/>
      <c r="D413" s="30"/>
      <c r="E413" s="31"/>
      <c r="F413" s="46">
        <f t="shared" si="42"/>
        <v>846</v>
      </c>
      <c r="G413" s="64">
        <f>SUM(G414)</f>
        <v>846</v>
      </c>
      <c r="H413" s="64">
        <f>SUM(H414)</f>
        <v>0</v>
      </c>
      <c r="I413" s="88">
        <f t="shared" si="43"/>
        <v>846</v>
      </c>
      <c r="J413" s="112">
        <f>SUM(J414)</f>
        <v>846</v>
      </c>
      <c r="K413" s="112">
        <f>SUM(K414)</f>
        <v>0</v>
      </c>
      <c r="L413" s="89">
        <f t="shared" si="44"/>
        <v>846</v>
      </c>
      <c r="M413" s="113">
        <f>SUM(M414)</f>
        <v>846</v>
      </c>
      <c r="N413" s="113">
        <f>SUM(N414)</f>
        <v>0</v>
      </c>
      <c r="O413" s="15"/>
      <c r="P413" s="15"/>
    </row>
    <row r="414" spans="1:16" s="11" customFormat="1" ht="13.5">
      <c r="A414" s="93" t="s">
        <v>155</v>
      </c>
      <c r="B414" s="193" t="s">
        <v>154</v>
      </c>
      <c r="C414" s="33" t="s">
        <v>274</v>
      </c>
      <c r="D414" s="33" t="s">
        <v>241</v>
      </c>
      <c r="E414" s="33" t="s">
        <v>219</v>
      </c>
      <c r="F414" s="46">
        <f t="shared" si="42"/>
        <v>846</v>
      </c>
      <c r="G414" s="46">
        <f>846</f>
        <v>846</v>
      </c>
      <c r="H414" s="46"/>
      <c r="I414" s="48">
        <f t="shared" si="43"/>
        <v>846</v>
      </c>
      <c r="J414" s="48">
        <f>846</f>
        <v>846</v>
      </c>
      <c r="K414" s="273"/>
      <c r="L414" s="39">
        <f t="shared" si="44"/>
        <v>846</v>
      </c>
      <c r="M414" s="39">
        <f>846</f>
        <v>846</v>
      </c>
      <c r="N414" s="39"/>
      <c r="O414" s="15"/>
      <c r="P414" s="15"/>
    </row>
    <row r="415" spans="1:14" s="11" customFormat="1" ht="43.5" customHeight="1">
      <c r="A415" s="41" t="s">
        <v>156</v>
      </c>
      <c r="B415" s="205" t="s">
        <v>157</v>
      </c>
      <c r="C415" s="42"/>
      <c r="D415" s="124"/>
      <c r="E415" s="42"/>
      <c r="F415" s="73">
        <f t="shared" si="42"/>
        <v>11562</v>
      </c>
      <c r="G415" s="74">
        <f>SUM(G416,G418,G420)</f>
        <v>11562</v>
      </c>
      <c r="H415" s="74">
        <f>SUM(H416,H418,H420)</f>
        <v>0</v>
      </c>
      <c r="I415" s="91">
        <f t="shared" si="43"/>
        <v>12166</v>
      </c>
      <c r="J415" s="75">
        <f>SUM(J416,J418,J420)</f>
        <v>12166</v>
      </c>
      <c r="K415" s="75">
        <f>SUM(K416,K418,K420)</f>
        <v>0</v>
      </c>
      <c r="L415" s="92">
        <f t="shared" si="44"/>
        <v>12716</v>
      </c>
      <c r="M415" s="76">
        <f>SUM(M416,M418,M420)</f>
        <v>12716</v>
      </c>
      <c r="N415" s="76">
        <f>SUM(N416,N418,N420)</f>
        <v>0</v>
      </c>
    </row>
    <row r="416" spans="1:16" s="11" customFormat="1" ht="54.75">
      <c r="A416" s="63" t="s">
        <v>158</v>
      </c>
      <c r="B416" s="199" t="s">
        <v>159</v>
      </c>
      <c r="C416" s="33"/>
      <c r="D416" s="87"/>
      <c r="E416" s="31"/>
      <c r="F416" s="46">
        <f t="shared" si="42"/>
        <v>60</v>
      </c>
      <c r="G416" s="69">
        <f>SUM(G417)</f>
        <v>60</v>
      </c>
      <c r="H416" s="69">
        <f>SUM(H417)</f>
        <v>0</v>
      </c>
      <c r="I416" s="88">
        <f t="shared" si="43"/>
        <v>60</v>
      </c>
      <c r="J416" s="109">
        <f>SUM(J417)</f>
        <v>60</v>
      </c>
      <c r="K416" s="109">
        <f>SUM(K417)</f>
        <v>0</v>
      </c>
      <c r="L416" s="89">
        <f t="shared" si="44"/>
        <v>60</v>
      </c>
      <c r="M416" s="110">
        <f>SUM(M417)</f>
        <v>60</v>
      </c>
      <c r="N416" s="110">
        <f>SUM(N417)</f>
        <v>0</v>
      </c>
      <c r="O416" s="15"/>
      <c r="P416" s="15"/>
    </row>
    <row r="417" spans="1:16" s="11" customFormat="1" ht="54.75">
      <c r="A417" s="93" t="s">
        <v>162</v>
      </c>
      <c r="B417" s="193" t="s">
        <v>160</v>
      </c>
      <c r="C417" s="33" t="s">
        <v>238</v>
      </c>
      <c r="D417" s="33" t="s">
        <v>251</v>
      </c>
      <c r="E417" s="33" t="s">
        <v>218</v>
      </c>
      <c r="F417" s="46">
        <f t="shared" si="42"/>
        <v>60</v>
      </c>
      <c r="G417" s="46">
        <f>60</f>
        <v>60</v>
      </c>
      <c r="H417" s="46"/>
      <c r="I417" s="48">
        <f t="shared" si="43"/>
        <v>60</v>
      </c>
      <c r="J417" s="48">
        <f>60</f>
        <v>60</v>
      </c>
      <c r="K417" s="273"/>
      <c r="L417" s="39">
        <f t="shared" si="44"/>
        <v>60</v>
      </c>
      <c r="M417" s="39">
        <f>60</f>
        <v>60</v>
      </c>
      <c r="N417" s="39"/>
      <c r="O417" s="15"/>
      <c r="P417" s="15"/>
    </row>
    <row r="418" spans="1:16" s="11" customFormat="1" ht="41.25">
      <c r="A418" s="54" t="s">
        <v>161</v>
      </c>
      <c r="B418" s="199" t="s">
        <v>163</v>
      </c>
      <c r="C418" s="33"/>
      <c r="D418" s="30"/>
      <c r="E418" s="31"/>
      <c r="F418" s="46">
        <f t="shared" si="42"/>
        <v>54</v>
      </c>
      <c r="G418" s="64">
        <f>SUM(G419)</f>
        <v>54</v>
      </c>
      <c r="H418" s="64">
        <f>SUM(H419)</f>
        <v>0</v>
      </c>
      <c r="I418" s="88">
        <f t="shared" si="43"/>
        <v>54</v>
      </c>
      <c r="J418" s="112">
        <f>SUM(J419)</f>
        <v>54</v>
      </c>
      <c r="K418" s="112">
        <f>SUM(K419)</f>
        <v>0</v>
      </c>
      <c r="L418" s="89">
        <f t="shared" si="44"/>
        <v>54</v>
      </c>
      <c r="M418" s="113">
        <f>SUM(M419)</f>
        <v>54</v>
      </c>
      <c r="N418" s="113">
        <f>SUM(N419)</f>
        <v>0</v>
      </c>
      <c r="O418" s="15"/>
      <c r="P418" s="15"/>
    </row>
    <row r="419" spans="1:14" s="22" customFormat="1" ht="27">
      <c r="A419" s="93" t="s">
        <v>165</v>
      </c>
      <c r="B419" s="193" t="s">
        <v>164</v>
      </c>
      <c r="C419" s="33" t="s">
        <v>238</v>
      </c>
      <c r="D419" s="33" t="s">
        <v>251</v>
      </c>
      <c r="E419" s="33" t="s">
        <v>218</v>
      </c>
      <c r="F419" s="46">
        <f t="shared" si="42"/>
        <v>54</v>
      </c>
      <c r="G419" s="51">
        <f>54</f>
        <v>54</v>
      </c>
      <c r="H419" s="51"/>
      <c r="I419" s="48">
        <f t="shared" si="43"/>
        <v>54</v>
      </c>
      <c r="J419" s="52">
        <f>54</f>
        <v>54</v>
      </c>
      <c r="K419" s="269"/>
      <c r="L419" s="39">
        <f t="shared" si="44"/>
        <v>54</v>
      </c>
      <c r="M419" s="53">
        <f>54</f>
        <v>54</v>
      </c>
      <c r="N419" s="53"/>
    </row>
    <row r="420" spans="1:14" s="28" customFormat="1" ht="41.25">
      <c r="A420" s="93" t="s">
        <v>249</v>
      </c>
      <c r="B420" s="196" t="s">
        <v>166</v>
      </c>
      <c r="C420" s="33"/>
      <c r="D420" s="30"/>
      <c r="E420" s="85"/>
      <c r="F420" s="46">
        <f t="shared" si="42"/>
        <v>11448</v>
      </c>
      <c r="G420" s="69">
        <f>SUM(G421,G422,G423)</f>
        <v>11448</v>
      </c>
      <c r="H420" s="69">
        <f>SUM(H421,H422,H423)</f>
        <v>0</v>
      </c>
      <c r="I420" s="88">
        <f t="shared" si="43"/>
        <v>12052</v>
      </c>
      <c r="J420" s="109">
        <f>SUM(J421,J422,J423)</f>
        <v>12052</v>
      </c>
      <c r="K420" s="109">
        <f>SUM(K421,K422,K423)</f>
        <v>0</v>
      </c>
      <c r="L420" s="89">
        <f t="shared" si="44"/>
        <v>12602</v>
      </c>
      <c r="M420" s="110">
        <f>SUM(M421,M422,M423)</f>
        <v>12602</v>
      </c>
      <c r="N420" s="110">
        <f>SUM(N421,N422,N423)</f>
        <v>0</v>
      </c>
    </row>
    <row r="421" spans="1:16" s="11" customFormat="1" ht="41.25">
      <c r="A421" s="94" t="s">
        <v>247</v>
      </c>
      <c r="B421" s="197" t="s">
        <v>167</v>
      </c>
      <c r="C421" s="33" t="s">
        <v>274</v>
      </c>
      <c r="D421" s="33" t="s">
        <v>251</v>
      </c>
      <c r="E421" s="33" t="s">
        <v>218</v>
      </c>
      <c r="F421" s="46">
        <f t="shared" si="42"/>
        <v>11448</v>
      </c>
      <c r="G421" s="46">
        <f>11448</f>
        <v>11448</v>
      </c>
      <c r="H421" s="46"/>
      <c r="I421" s="48">
        <f t="shared" si="43"/>
        <v>12052</v>
      </c>
      <c r="J421" s="48">
        <f>12052</f>
        <v>12052</v>
      </c>
      <c r="K421" s="273"/>
      <c r="L421" s="39">
        <f t="shared" si="44"/>
        <v>12602</v>
      </c>
      <c r="M421" s="39">
        <f>12602</f>
        <v>12602</v>
      </c>
      <c r="N421" s="39"/>
      <c r="O421" s="15"/>
      <c r="P421" s="15"/>
    </row>
    <row r="422" spans="1:16" s="11" customFormat="1" ht="69">
      <c r="A422" s="63" t="s">
        <v>119</v>
      </c>
      <c r="B422" s="197" t="s">
        <v>168</v>
      </c>
      <c r="C422" s="33" t="s">
        <v>274</v>
      </c>
      <c r="D422" s="33" t="s">
        <v>251</v>
      </c>
      <c r="E422" s="33" t="s">
        <v>218</v>
      </c>
      <c r="F422" s="46">
        <f t="shared" si="42"/>
        <v>0</v>
      </c>
      <c r="G422" s="46"/>
      <c r="H422" s="46"/>
      <c r="I422" s="48">
        <f t="shared" si="43"/>
        <v>0</v>
      </c>
      <c r="J422" s="48"/>
      <c r="K422" s="273"/>
      <c r="L422" s="39">
        <f t="shared" si="44"/>
        <v>0</v>
      </c>
      <c r="M422" s="39"/>
      <c r="N422" s="39"/>
      <c r="O422" s="15"/>
      <c r="P422" s="15"/>
    </row>
    <row r="423" spans="1:16" s="11" customFormat="1" ht="82.5">
      <c r="A423" s="217" t="s">
        <v>300</v>
      </c>
      <c r="B423" s="218" t="s">
        <v>303</v>
      </c>
      <c r="C423" s="166" t="s">
        <v>274</v>
      </c>
      <c r="D423" s="166" t="s">
        <v>251</v>
      </c>
      <c r="E423" s="166" t="s">
        <v>218</v>
      </c>
      <c r="F423" s="167">
        <f>SUM(G423:H423)</f>
        <v>0</v>
      </c>
      <c r="G423" s="167"/>
      <c r="H423" s="167"/>
      <c r="I423" s="213">
        <f>SUM(J423:K423)</f>
        <v>0</v>
      </c>
      <c r="J423" s="213"/>
      <c r="K423" s="279"/>
      <c r="L423" s="214">
        <f>SUM(M423:N423)</f>
        <v>0</v>
      </c>
      <c r="M423" s="214"/>
      <c r="N423" s="214"/>
      <c r="O423" s="15"/>
      <c r="P423" s="15"/>
    </row>
    <row r="424" spans="1:16" s="11" customFormat="1" ht="27">
      <c r="A424" s="41" t="s">
        <v>169</v>
      </c>
      <c r="B424" s="198" t="s">
        <v>170</v>
      </c>
      <c r="C424" s="42"/>
      <c r="D424" s="34"/>
      <c r="E424" s="42"/>
      <c r="F424" s="73">
        <f t="shared" si="42"/>
        <v>40397</v>
      </c>
      <c r="G424" s="74">
        <f>SUM(G425,G428)</f>
        <v>40397</v>
      </c>
      <c r="H424" s="74">
        <f>SUM(H425,H428)</f>
        <v>0</v>
      </c>
      <c r="I424" s="91">
        <f t="shared" si="43"/>
        <v>42087</v>
      </c>
      <c r="J424" s="75">
        <f>SUM(J425,J428)</f>
        <v>42087</v>
      </c>
      <c r="K424" s="75">
        <f>SUM(K425,K428)</f>
        <v>0</v>
      </c>
      <c r="L424" s="92">
        <f t="shared" si="44"/>
        <v>43564</v>
      </c>
      <c r="M424" s="76">
        <f>SUM(M425,M428)</f>
        <v>43564</v>
      </c>
      <c r="N424" s="76">
        <f>SUM(N425,N428)</f>
        <v>0</v>
      </c>
      <c r="O424" s="15"/>
      <c r="P424" s="15"/>
    </row>
    <row r="425" spans="1:16" s="11" customFormat="1" ht="41.25">
      <c r="A425" s="93" t="s">
        <v>413</v>
      </c>
      <c r="B425" s="199" t="s">
        <v>171</v>
      </c>
      <c r="C425" s="33"/>
      <c r="D425" s="30"/>
      <c r="E425" s="31"/>
      <c r="F425" s="46">
        <f t="shared" si="42"/>
        <v>5163</v>
      </c>
      <c r="G425" s="64">
        <f>SUM(G426,G427)</f>
        <v>5163</v>
      </c>
      <c r="H425" s="64">
        <f>SUM(H426,H427)</f>
        <v>0</v>
      </c>
      <c r="I425" s="88">
        <f t="shared" si="43"/>
        <v>5384</v>
      </c>
      <c r="J425" s="112">
        <f>SUM(J426,J427)</f>
        <v>5384</v>
      </c>
      <c r="K425" s="112">
        <f>SUM(K426,K427)</f>
        <v>0</v>
      </c>
      <c r="L425" s="89">
        <f t="shared" si="44"/>
        <v>5578</v>
      </c>
      <c r="M425" s="113">
        <f>SUM(M426,M427)</f>
        <v>5578</v>
      </c>
      <c r="N425" s="113">
        <f>SUM(N426,N427)</f>
        <v>0</v>
      </c>
      <c r="O425" s="15"/>
      <c r="P425" s="15"/>
    </row>
    <row r="426" spans="1:16" s="11" customFormat="1" ht="27">
      <c r="A426" s="154" t="s">
        <v>416</v>
      </c>
      <c r="B426" s="187" t="s">
        <v>172</v>
      </c>
      <c r="C426" s="33" t="s">
        <v>237</v>
      </c>
      <c r="D426" s="33" t="s">
        <v>251</v>
      </c>
      <c r="E426" s="33" t="s">
        <v>240</v>
      </c>
      <c r="F426" s="46">
        <f t="shared" si="42"/>
        <v>5162</v>
      </c>
      <c r="G426" s="51">
        <f>5162</f>
        <v>5162</v>
      </c>
      <c r="H426" s="51"/>
      <c r="I426" s="48">
        <f t="shared" si="43"/>
        <v>5383</v>
      </c>
      <c r="J426" s="52">
        <f>5383</f>
        <v>5383</v>
      </c>
      <c r="K426" s="269"/>
      <c r="L426" s="39">
        <f t="shared" si="44"/>
        <v>5577</v>
      </c>
      <c r="M426" s="53">
        <f>5577</f>
        <v>5577</v>
      </c>
      <c r="N426" s="53"/>
      <c r="O426" s="15"/>
      <c r="P426" s="15"/>
    </row>
    <row r="427" spans="1:16" s="11" customFormat="1" ht="27">
      <c r="A427" s="154" t="s">
        <v>416</v>
      </c>
      <c r="B427" s="187" t="s">
        <v>172</v>
      </c>
      <c r="C427" s="33" t="s">
        <v>238</v>
      </c>
      <c r="D427" s="33" t="s">
        <v>251</v>
      </c>
      <c r="E427" s="33" t="s">
        <v>240</v>
      </c>
      <c r="F427" s="46">
        <f t="shared" si="42"/>
        <v>1</v>
      </c>
      <c r="G427" s="51">
        <f>1</f>
        <v>1</v>
      </c>
      <c r="H427" s="51"/>
      <c r="I427" s="48">
        <f t="shared" si="43"/>
        <v>1</v>
      </c>
      <c r="J427" s="52">
        <f>1</f>
        <v>1</v>
      </c>
      <c r="K427" s="269"/>
      <c r="L427" s="39">
        <f t="shared" si="44"/>
        <v>1</v>
      </c>
      <c r="M427" s="53">
        <f>1</f>
        <v>1</v>
      </c>
      <c r="N427" s="53"/>
      <c r="O427" s="15"/>
      <c r="P427" s="15"/>
    </row>
    <row r="428" spans="1:16" s="11" customFormat="1" ht="41.25">
      <c r="A428" s="54" t="s">
        <v>504</v>
      </c>
      <c r="B428" s="186" t="s">
        <v>173</v>
      </c>
      <c r="C428" s="33"/>
      <c r="D428" s="30"/>
      <c r="E428" s="31"/>
      <c r="F428" s="46">
        <f t="shared" si="42"/>
        <v>35234</v>
      </c>
      <c r="G428" s="69">
        <f>SUM(G429,G430,G431)</f>
        <v>35234</v>
      </c>
      <c r="H428" s="69">
        <f>SUM(H429,H430,H431)</f>
        <v>0</v>
      </c>
      <c r="I428" s="88">
        <f t="shared" si="43"/>
        <v>36703</v>
      </c>
      <c r="J428" s="109">
        <f>SUM(J429,J430,J431)</f>
        <v>36703</v>
      </c>
      <c r="K428" s="109">
        <f>SUM(K429,K430,K431)</f>
        <v>0</v>
      </c>
      <c r="L428" s="89">
        <f t="shared" si="44"/>
        <v>37986</v>
      </c>
      <c r="M428" s="110">
        <f>SUM(M429,M430,M431)</f>
        <v>37986</v>
      </c>
      <c r="N428" s="110">
        <f>SUM(N429,N430,N431)</f>
        <v>0</v>
      </c>
      <c r="O428" s="15"/>
      <c r="P428" s="15"/>
    </row>
    <row r="429" spans="1:14" s="28" customFormat="1" ht="41.25">
      <c r="A429" s="154" t="s">
        <v>247</v>
      </c>
      <c r="B429" s="187" t="s">
        <v>174</v>
      </c>
      <c r="C429" s="33" t="s">
        <v>237</v>
      </c>
      <c r="D429" s="33" t="s">
        <v>251</v>
      </c>
      <c r="E429" s="33" t="s">
        <v>240</v>
      </c>
      <c r="F429" s="46">
        <f t="shared" si="42"/>
        <v>34163</v>
      </c>
      <c r="G429" s="51">
        <f>34163</f>
        <v>34163</v>
      </c>
      <c r="H429" s="51"/>
      <c r="I429" s="48">
        <f t="shared" si="43"/>
        <v>35632</v>
      </c>
      <c r="J429" s="52">
        <f>35632</f>
        <v>35632</v>
      </c>
      <c r="K429" s="269"/>
      <c r="L429" s="39">
        <f t="shared" si="44"/>
        <v>36915</v>
      </c>
      <c r="M429" s="53">
        <f>36915</f>
        <v>36915</v>
      </c>
      <c r="N429" s="53"/>
    </row>
    <row r="430" spans="1:14" s="28" customFormat="1" ht="41.25">
      <c r="A430" s="154" t="s">
        <v>247</v>
      </c>
      <c r="B430" s="187" t="s">
        <v>174</v>
      </c>
      <c r="C430" s="33" t="s">
        <v>238</v>
      </c>
      <c r="D430" s="33" t="s">
        <v>251</v>
      </c>
      <c r="E430" s="33" t="s">
        <v>240</v>
      </c>
      <c r="F430" s="46">
        <f t="shared" si="42"/>
        <v>1067</v>
      </c>
      <c r="G430" s="51">
        <f>1067</f>
        <v>1067</v>
      </c>
      <c r="H430" s="51"/>
      <c r="I430" s="48">
        <f t="shared" si="43"/>
        <v>1067</v>
      </c>
      <c r="J430" s="52">
        <f>1067</f>
        <v>1067</v>
      </c>
      <c r="K430" s="269"/>
      <c r="L430" s="39">
        <f t="shared" si="44"/>
        <v>1067</v>
      </c>
      <c r="M430" s="53">
        <f>1067</f>
        <v>1067</v>
      </c>
      <c r="N430" s="53"/>
    </row>
    <row r="431" spans="1:16" s="11" customFormat="1" ht="41.25">
      <c r="A431" s="154" t="s">
        <v>247</v>
      </c>
      <c r="B431" s="187" t="s">
        <v>174</v>
      </c>
      <c r="C431" s="33" t="s">
        <v>239</v>
      </c>
      <c r="D431" s="33" t="s">
        <v>251</v>
      </c>
      <c r="E431" s="33" t="s">
        <v>240</v>
      </c>
      <c r="F431" s="46">
        <f t="shared" si="42"/>
        <v>4</v>
      </c>
      <c r="G431" s="51">
        <f>4</f>
        <v>4</v>
      </c>
      <c r="H431" s="51"/>
      <c r="I431" s="48">
        <f t="shared" si="43"/>
        <v>4</v>
      </c>
      <c r="J431" s="52">
        <f>4</f>
        <v>4</v>
      </c>
      <c r="K431" s="269"/>
      <c r="L431" s="39">
        <f t="shared" si="44"/>
        <v>4</v>
      </c>
      <c r="M431" s="53">
        <f>4</f>
        <v>4</v>
      </c>
      <c r="N431" s="53"/>
      <c r="O431" s="15"/>
      <c r="P431" s="15"/>
    </row>
    <row r="432" spans="1:16" s="9" customFormat="1" ht="13.5">
      <c r="A432" s="154"/>
      <c r="B432" s="187"/>
      <c r="C432" s="33"/>
      <c r="D432" s="33"/>
      <c r="E432" s="33"/>
      <c r="F432" s="46"/>
      <c r="G432" s="51"/>
      <c r="H432" s="51"/>
      <c r="I432" s="48"/>
      <c r="J432" s="52"/>
      <c r="K432" s="269"/>
      <c r="L432" s="39"/>
      <c r="M432" s="53"/>
      <c r="N432" s="53"/>
      <c r="O432" s="23"/>
      <c r="P432" s="23"/>
    </row>
    <row r="433" spans="1:16" s="9" customFormat="1" ht="27">
      <c r="A433" s="41" t="s">
        <v>175</v>
      </c>
      <c r="B433" s="194" t="s">
        <v>248</v>
      </c>
      <c r="C433" s="42"/>
      <c r="D433" s="34"/>
      <c r="E433" s="42"/>
      <c r="F433" s="73">
        <f t="shared" si="42"/>
        <v>144327</v>
      </c>
      <c r="G433" s="74">
        <f>SUM(G434,G444,G455)</f>
        <v>144327</v>
      </c>
      <c r="H433" s="74">
        <f>SUM(H434,H444,H455)</f>
        <v>0</v>
      </c>
      <c r="I433" s="91">
        <f t="shared" si="43"/>
        <v>145316</v>
      </c>
      <c r="J433" s="75">
        <f>SUM(J434,J444,J455)</f>
        <v>145316</v>
      </c>
      <c r="K433" s="75">
        <f>SUM(K434,K444,K455)</f>
        <v>0</v>
      </c>
      <c r="L433" s="92">
        <f t="shared" si="44"/>
        <v>146186</v>
      </c>
      <c r="M433" s="76">
        <f>SUM(M434,M444,M455)</f>
        <v>146186</v>
      </c>
      <c r="N433" s="76">
        <f>SUM(N434,N444,N455)</f>
        <v>0</v>
      </c>
      <c r="O433" s="23"/>
      <c r="P433" s="23"/>
    </row>
    <row r="434" spans="1:16" s="9" customFormat="1" ht="41.25">
      <c r="A434" s="41" t="s">
        <v>176</v>
      </c>
      <c r="B434" s="194" t="s">
        <v>177</v>
      </c>
      <c r="C434" s="42"/>
      <c r="D434" s="34"/>
      <c r="E434" s="42"/>
      <c r="F434" s="73">
        <f t="shared" si="42"/>
        <v>7058</v>
      </c>
      <c r="G434" s="74">
        <f>SUM(G435,G437,G440)</f>
        <v>7058</v>
      </c>
      <c r="H434" s="74">
        <f>SUM(H435,H437,H440)</f>
        <v>0</v>
      </c>
      <c r="I434" s="91">
        <f t="shared" si="43"/>
        <v>7110</v>
      </c>
      <c r="J434" s="75">
        <f>SUM(J435,J437,J440)</f>
        <v>7110</v>
      </c>
      <c r="K434" s="75">
        <f>SUM(K435,K437,K440)</f>
        <v>0</v>
      </c>
      <c r="L434" s="92">
        <f t="shared" si="44"/>
        <v>7143</v>
      </c>
      <c r="M434" s="76">
        <f>SUM(M435,M437,M440)</f>
        <v>7143</v>
      </c>
      <c r="N434" s="76">
        <f>SUM(N435,N437,N440)</f>
        <v>0</v>
      </c>
      <c r="O434" s="23"/>
      <c r="P434" s="23"/>
    </row>
    <row r="435" spans="1:16" s="9" customFormat="1" ht="41.25">
      <c r="A435" s="35" t="s">
        <v>249</v>
      </c>
      <c r="B435" s="203" t="s">
        <v>178</v>
      </c>
      <c r="C435" s="31"/>
      <c r="D435" s="30"/>
      <c r="E435" s="31"/>
      <c r="F435" s="46">
        <f t="shared" si="42"/>
        <v>5217</v>
      </c>
      <c r="G435" s="69">
        <f>SUM(G436)</f>
        <v>5217</v>
      </c>
      <c r="H435" s="69">
        <f>SUM(H436)</f>
        <v>0</v>
      </c>
      <c r="I435" s="88">
        <f t="shared" si="43"/>
        <v>5269</v>
      </c>
      <c r="J435" s="109">
        <f>SUM(J436)</f>
        <v>5269</v>
      </c>
      <c r="K435" s="109">
        <f>SUM(K436)</f>
        <v>0</v>
      </c>
      <c r="L435" s="89">
        <f t="shared" si="44"/>
        <v>5302</v>
      </c>
      <c r="M435" s="110">
        <f>SUM(M436)</f>
        <v>5302</v>
      </c>
      <c r="N435" s="110">
        <f>SUM(N436)</f>
        <v>0</v>
      </c>
      <c r="O435" s="23"/>
      <c r="P435" s="23"/>
    </row>
    <row r="436" spans="1:16" s="9" customFormat="1" ht="41.25">
      <c r="A436" s="35" t="s">
        <v>247</v>
      </c>
      <c r="B436" s="185" t="s">
        <v>179</v>
      </c>
      <c r="C436" s="31" t="s">
        <v>274</v>
      </c>
      <c r="D436" s="31" t="s">
        <v>508</v>
      </c>
      <c r="E436" s="31" t="s">
        <v>356</v>
      </c>
      <c r="F436" s="68">
        <f t="shared" si="42"/>
        <v>5217</v>
      </c>
      <c r="G436" s="68">
        <f>5217</f>
        <v>5217</v>
      </c>
      <c r="H436" s="68"/>
      <c r="I436" s="37">
        <f t="shared" si="43"/>
        <v>5269</v>
      </c>
      <c r="J436" s="37">
        <f>5269</f>
        <v>5269</v>
      </c>
      <c r="K436" s="277"/>
      <c r="L436" s="71">
        <f t="shared" si="44"/>
        <v>5302</v>
      </c>
      <c r="M436" s="71">
        <f>5302</f>
        <v>5302</v>
      </c>
      <c r="N436" s="71"/>
      <c r="O436" s="23"/>
      <c r="P436" s="23"/>
    </row>
    <row r="437" spans="1:16" s="9" customFormat="1" ht="27">
      <c r="A437" s="35" t="s">
        <v>524</v>
      </c>
      <c r="B437" s="203" t="s">
        <v>180</v>
      </c>
      <c r="C437" s="31"/>
      <c r="D437" s="87"/>
      <c r="E437" s="31"/>
      <c r="F437" s="46">
        <f t="shared" si="42"/>
        <v>1841</v>
      </c>
      <c r="G437" s="64">
        <f>SUM(G438,G439)</f>
        <v>1841</v>
      </c>
      <c r="H437" s="64">
        <f>SUM(H438,H439)</f>
        <v>0</v>
      </c>
      <c r="I437" s="88">
        <f t="shared" si="43"/>
        <v>1841</v>
      </c>
      <c r="J437" s="112">
        <f>SUM(J438,J439)</f>
        <v>1841</v>
      </c>
      <c r="K437" s="112">
        <f>SUM(K438,K439)</f>
        <v>0</v>
      </c>
      <c r="L437" s="89">
        <f t="shared" si="44"/>
        <v>1841</v>
      </c>
      <c r="M437" s="113">
        <f>SUM(M438,M439)</f>
        <v>1841</v>
      </c>
      <c r="N437" s="113">
        <f>SUM(N438,N439)</f>
        <v>0</v>
      </c>
      <c r="O437" s="23"/>
      <c r="P437" s="23"/>
    </row>
    <row r="438" spans="1:16" s="9" customFormat="1" ht="27">
      <c r="A438" s="35" t="s">
        <v>250</v>
      </c>
      <c r="B438" s="185" t="s">
        <v>181</v>
      </c>
      <c r="C438" s="31" t="s">
        <v>238</v>
      </c>
      <c r="D438" s="31" t="s">
        <v>508</v>
      </c>
      <c r="E438" s="31" t="s">
        <v>218</v>
      </c>
      <c r="F438" s="68">
        <f t="shared" si="42"/>
        <v>1641</v>
      </c>
      <c r="G438" s="68">
        <f>1641</f>
        <v>1641</v>
      </c>
      <c r="H438" s="68"/>
      <c r="I438" s="37">
        <f t="shared" si="43"/>
        <v>1641</v>
      </c>
      <c r="J438" s="37">
        <f>1641</f>
        <v>1641</v>
      </c>
      <c r="K438" s="277"/>
      <c r="L438" s="71">
        <f t="shared" si="44"/>
        <v>1641</v>
      </c>
      <c r="M438" s="71">
        <f>1641</f>
        <v>1641</v>
      </c>
      <c r="N438" s="71"/>
      <c r="O438" s="23"/>
      <c r="P438" s="23"/>
    </row>
    <row r="439" spans="1:14" s="29" customFormat="1" ht="27">
      <c r="A439" s="35" t="s">
        <v>250</v>
      </c>
      <c r="B439" s="185" t="s">
        <v>181</v>
      </c>
      <c r="C439" s="31" t="s">
        <v>274</v>
      </c>
      <c r="D439" s="126" t="s">
        <v>508</v>
      </c>
      <c r="E439" s="31" t="s">
        <v>356</v>
      </c>
      <c r="F439" s="68">
        <f t="shared" si="42"/>
        <v>200</v>
      </c>
      <c r="G439" s="68">
        <f>200</f>
        <v>200</v>
      </c>
      <c r="H439" s="68"/>
      <c r="I439" s="37">
        <f t="shared" si="43"/>
        <v>200</v>
      </c>
      <c r="J439" s="37">
        <f>200</f>
        <v>200</v>
      </c>
      <c r="K439" s="277"/>
      <c r="L439" s="71">
        <f t="shared" si="44"/>
        <v>200</v>
      </c>
      <c r="M439" s="71">
        <f>200</f>
        <v>200</v>
      </c>
      <c r="N439" s="71"/>
    </row>
    <row r="440" spans="1:16" s="9" customFormat="1" ht="54.75">
      <c r="A440" s="35" t="s">
        <v>182</v>
      </c>
      <c r="B440" s="186" t="s">
        <v>183</v>
      </c>
      <c r="C440" s="33"/>
      <c r="D440" s="87"/>
      <c r="E440" s="31"/>
      <c r="F440" s="46">
        <f t="shared" si="42"/>
        <v>0</v>
      </c>
      <c r="G440" s="64">
        <f>SUM(G441,G442,G443)</f>
        <v>0</v>
      </c>
      <c r="H440" s="64">
        <f>SUM(H441,H442,H443)</f>
        <v>0</v>
      </c>
      <c r="I440" s="88">
        <f t="shared" si="43"/>
        <v>0</v>
      </c>
      <c r="J440" s="112">
        <f>SUM(J441,J442,J443)</f>
        <v>0</v>
      </c>
      <c r="K440" s="112">
        <f>SUM(K441,K442,K443)</f>
        <v>0</v>
      </c>
      <c r="L440" s="89">
        <f t="shared" si="44"/>
        <v>0</v>
      </c>
      <c r="M440" s="113">
        <f>SUM(M441,M442,M443)</f>
        <v>0</v>
      </c>
      <c r="N440" s="113">
        <f>SUM(N441,N442,N443)</f>
        <v>0</v>
      </c>
      <c r="O440" s="23"/>
      <c r="P440" s="23"/>
    </row>
    <row r="441" spans="1:16" s="9" customFormat="1" ht="27">
      <c r="A441" s="35" t="s">
        <v>275</v>
      </c>
      <c r="B441" s="186" t="s">
        <v>184</v>
      </c>
      <c r="C441" s="33" t="s">
        <v>238</v>
      </c>
      <c r="D441" s="126" t="s">
        <v>508</v>
      </c>
      <c r="E441" s="31" t="s">
        <v>356</v>
      </c>
      <c r="F441" s="55">
        <f t="shared" si="42"/>
        <v>0</v>
      </c>
      <c r="G441" s="56"/>
      <c r="H441" s="56"/>
      <c r="I441" s="101">
        <f t="shared" si="43"/>
        <v>0</v>
      </c>
      <c r="J441" s="98"/>
      <c r="K441" s="98"/>
      <c r="L441" s="102">
        <f t="shared" si="44"/>
        <v>0</v>
      </c>
      <c r="M441" s="99"/>
      <c r="N441" s="99"/>
      <c r="O441" s="23"/>
      <c r="P441" s="23"/>
    </row>
    <row r="442" spans="1:16" s="9" customFormat="1" ht="41.25">
      <c r="A442" s="35" t="s">
        <v>451</v>
      </c>
      <c r="B442" s="187" t="s">
        <v>185</v>
      </c>
      <c r="C442" s="33" t="s">
        <v>279</v>
      </c>
      <c r="D442" s="126" t="s">
        <v>508</v>
      </c>
      <c r="E442" s="31" t="s">
        <v>218</v>
      </c>
      <c r="F442" s="55">
        <f t="shared" si="42"/>
        <v>0</v>
      </c>
      <c r="G442" s="56"/>
      <c r="H442" s="56"/>
      <c r="I442" s="57">
        <f t="shared" si="43"/>
        <v>0</v>
      </c>
      <c r="J442" s="58"/>
      <c r="K442" s="270"/>
      <c r="L442" s="59">
        <f t="shared" si="44"/>
        <v>0</v>
      </c>
      <c r="M442" s="60"/>
      <c r="N442" s="60"/>
      <c r="O442" s="23"/>
      <c r="P442" s="23"/>
    </row>
    <row r="443" spans="1:16" s="9" customFormat="1" ht="41.25">
      <c r="A443" s="35" t="s">
        <v>451</v>
      </c>
      <c r="B443" s="187" t="s">
        <v>185</v>
      </c>
      <c r="C443" s="33" t="s">
        <v>279</v>
      </c>
      <c r="D443" s="126" t="s">
        <v>508</v>
      </c>
      <c r="E443" s="31" t="s">
        <v>356</v>
      </c>
      <c r="F443" s="55">
        <f>SUM(G443:H443)</f>
        <v>0</v>
      </c>
      <c r="G443" s="56"/>
      <c r="H443" s="56"/>
      <c r="I443" s="57">
        <f>SUM(J443:K443)</f>
        <v>0</v>
      </c>
      <c r="J443" s="58"/>
      <c r="K443" s="270"/>
      <c r="L443" s="59">
        <f>SUM(M443:N443)</f>
        <v>0</v>
      </c>
      <c r="M443" s="60"/>
      <c r="N443" s="60"/>
      <c r="O443" s="23"/>
      <c r="P443" s="23"/>
    </row>
    <row r="444" spans="1:16" s="9" customFormat="1" ht="27">
      <c r="A444" s="41" t="s">
        <v>186</v>
      </c>
      <c r="B444" s="194" t="s">
        <v>187</v>
      </c>
      <c r="C444" s="42"/>
      <c r="D444" s="124"/>
      <c r="E444" s="90"/>
      <c r="F444" s="73">
        <f t="shared" si="42"/>
        <v>130999</v>
      </c>
      <c r="G444" s="95">
        <f>SUM(G445,G449,G452)</f>
        <v>130999</v>
      </c>
      <c r="H444" s="95">
        <f>SUM(H445,H449,H452)</f>
        <v>0</v>
      </c>
      <c r="I444" s="91">
        <f t="shared" si="43"/>
        <v>131727</v>
      </c>
      <c r="J444" s="96">
        <f>SUM(J445,J449,J452)</f>
        <v>131727</v>
      </c>
      <c r="K444" s="96">
        <f>SUM(K445,K449,K452)</f>
        <v>0</v>
      </c>
      <c r="L444" s="92">
        <f t="shared" si="44"/>
        <v>132389</v>
      </c>
      <c r="M444" s="97">
        <f>SUM(M445,M449,M452)</f>
        <v>132389</v>
      </c>
      <c r="N444" s="97">
        <f>SUM(N445,N449,N452)</f>
        <v>0</v>
      </c>
      <c r="O444" s="23"/>
      <c r="P444" s="23"/>
    </row>
    <row r="445" spans="1:16" s="9" customFormat="1" ht="41.25">
      <c r="A445" s="35" t="s">
        <v>249</v>
      </c>
      <c r="B445" s="195" t="s">
        <v>20</v>
      </c>
      <c r="C445" s="31"/>
      <c r="D445" s="87"/>
      <c r="E445" s="85"/>
      <c r="F445" s="46">
        <f t="shared" si="42"/>
        <v>124304</v>
      </c>
      <c r="G445" s="69">
        <f>SUM(G446,G447,G448)</f>
        <v>124304</v>
      </c>
      <c r="H445" s="69">
        <f>SUM(H446,H447,H448)</f>
        <v>0</v>
      </c>
      <c r="I445" s="88">
        <f t="shared" si="43"/>
        <v>125032</v>
      </c>
      <c r="J445" s="109">
        <f>SUM(J446,J447,J448)</f>
        <v>125032</v>
      </c>
      <c r="K445" s="109">
        <f>SUM(K446,K447,K448)</f>
        <v>0</v>
      </c>
      <c r="L445" s="89">
        <f t="shared" si="44"/>
        <v>125694</v>
      </c>
      <c r="M445" s="110">
        <f>SUM(M446,M447,M448)</f>
        <v>125694</v>
      </c>
      <c r="N445" s="110">
        <f>SUM(N446,N447,N448)</f>
        <v>0</v>
      </c>
      <c r="O445" s="23"/>
      <c r="P445" s="23"/>
    </row>
    <row r="446" spans="1:16" s="11" customFormat="1" ht="41.25">
      <c r="A446" s="35" t="s">
        <v>466</v>
      </c>
      <c r="B446" s="184" t="s">
        <v>21</v>
      </c>
      <c r="C446" s="31" t="s">
        <v>274</v>
      </c>
      <c r="D446" s="126" t="s">
        <v>508</v>
      </c>
      <c r="E446" s="31" t="s">
        <v>218</v>
      </c>
      <c r="F446" s="68">
        <f t="shared" si="42"/>
        <v>124304</v>
      </c>
      <c r="G446" s="69">
        <f>124304</f>
        <v>124304</v>
      </c>
      <c r="H446" s="69"/>
      <c r="I446" s="37">
        <f t="shared" si="43"/>
        <v>125032</v>
      </c>
      <c r="J446" s="70">
        <f>125032</f>
        <v>125032</v>
      </c>
      <c r="K446" s="272"/>
      <c r="L446" s="71">
        <f t="shared" si="44"/>
        <v>125694</v>
      </c>
      <c r="M446" s="72">
        <f>125694</f>
        <v>125694</v>
      </c>
      <c r="N446" s="72"/>
      <c r="O446" s="15"/>
      <c r="P446" s="15"/>
    </row>
    <row r="447" spans="1:14" s="11" customFormat="1" ht="29.25" customHeight="1">
      <c r="A447" s="229" t="s">
        <v>100</v>
      </c>
      <c r="B447" s="285" t="s">
        <v>670</v>
      </c>
      <c r="C447" s="253" t="s">
        <v>238</v>
      </c>
      <c r="D447" s="253" t="s">
        <v>508</v>
      </c>
      <c r="E447" s="253" t="s">
        <v>219</v>
      </c>
      <c r="F447" s="254">
        <f t="shared" si="42"/>
        <v>0</v>
      </c>
      <c r="G447" s="254"/>
      <c r="H447" s="254"/>
      <c r="I447" s="255">
        <f t="shared" si="43"/>
        <v>0</v>
      </c>
      <c r="J447" s="255"/>
      <c r="K447" s="255"/>
      <c r="L447" s="256">
        <f t="shared" si="44"/>
        <v>0</v>
      </c>
      <c r="M447" s="256"/>
      <c r="N447" s="256"/>
    </row>
    <row r="448" spans="1:16" s="11" customFormat="1" ht="69">
      <c r="A448" s="35" t="s">
        <v>22</v>
      </c>
      <c r="B448" s="185" t="s">
        <v>670</v>
      </c>
      <c r="C448" s="31" t="s">
        <v>274</v>
      </c>
      <c r="D448" s="126" t="s">
        <v>508</v>
      </c>
      <c r="E448" s="31" t="s">
        <v>219</v>
      </c>
      <c r="F448" s="68">
        <f t="shared" si="42"/>
        <v>0</v>
      </c>
      <c r="G448" s="68"/>
      <c r="H448" s="68"/>
      <c r="I448" s="37">
        <f t="shared" si="43"/>
        <v>0</v>
      </c>
      <c r="J448" s="37"/>
      <c r="K448" s="277"/>
      <c r="L448" s="71">
        <f t="shared" si="44"/>
        <v>0</v>
      </c>
      <c r="M448" s="71"/>
      <c r="N448" s="71"/>
      <c r="O448" s="15"/>
      <c r="P448" s="15"/>
    </row>
    <row r="449" spans="1:16" s="11" customFormat="1" ht="27">
      <c r="A449" s="35" t="s">
        <v>524</v>
      </c>
      <c r="B449" s="203" t="s">
        <v>23</v>
      </c>
      <c r="C449" s="31"/>
      <c r="D449" s="87"/>
      <c r="E449" s="85"/>
      <c r="F449" s="46">
        <f t="shared" si="42"/>
        <v>6695</v>
      </c>
      <c r="G449" s="69">
        <f>SUM(G450,G451)</f>
        <v>6695</v>
      </c>
      <c r="H449" s="69">
        <f>SUM(H450,H451)</f>
        <v>0</v>
      </c>
      <c r="I449" s="88">
        <f t="shared" si="43"/>
        <v>6695</v>
      </c>
      <c r="J449" s="109">
        <f>SUM(J450,J451)</f>
        <v>6695</v>
      </c>
      <c r="K449" s="109">
        <f>SUM(K450,K451)</f>
        <v>0</v>
      </c>
      <c r="L449" s="89">
        <f t="shared" si="44"/>
        <v>6695</v>
      </c>
      <c r="M449" s="110">
        <f>SUM(M450,M451)</f>
        <v>6695</v>
      </c>
      <c r="N449" s="110">
        <f>SUM(N450,N451)</f>
        <v>0</v>
      </c>
      <c r="O449" s="15"/>
      <c r="P449" s="15"/>
    </row>
    <row r="450" spans="1:16" s="11" customFormat="1" ht="27">
      <c r="A450" s="35" t="s">
        <v>250</v>
      </c>
      <c r="B450" s="185" t="s">
        <v>24</v>
      </c>
      <c r="C450" s="31" t="s">
        <v>238</v>
      </c>
      <c r="D450" s="126" t="s">
        <v>508</v>
      </c>
      <c r="E450" s="31" t="s">
        <v>218</v>
      </c>
      <c r="F450" s="68">
        <f t="shared" si="42"/>
        <v>2862</v>
      </c>
      <c r="G450" s="68">
        <f>2862</f>
        <v>2862</v>
      </c>
      <c r="H450" s="68"/>
      <c r="I450" s="37">
        <f t="shared" si="43"/>
        <v>2862</v>
      </c>
      <c r="J450" s="37">
        <f>2862</f>
        <v>2862</v>
      </c>
      <c r="K450" s="277"/>
      <c r="L450" s="71">
        <f t="shared" si="44"/>
        <v>2862</v>
      </c>
      <c r="M450" s="71">
        <f>2862</f>
        <v>2862</v>
      </c>
      <c r="N450" s="71"/>
      <c r="O450" s="15"/>
      <c r="P450" s="15"/>
    </row>
    <row r="451" spans="1:14" s="28" customFormat="1" ht="27">
      <c r="A451" s="35" t="s">
        <v>250</v>
      </c>
      <c r="B451" s="185" t="s">
        <v>24</v>
      </c>
      <c r="C451" s="31" t="s">
        <v>274</v>
      </c>
      <c r="D451" s="126" t="s">
        <v>508</v>
      </c>
      <c r="E451" s="31" t="s">
        <v>218</v>
      </c>
      <c r="F451" s="68">
        <f t="shared" si="42"/>
        <v>3833</v>
      </c>
      <c r="G451" s="68">
        <f>3833</f>
        <v>3833</v>
      </c>
      <c r="H451" s="68"/>
      <c r="I451" s="37">
        <f t="shared" si="43"/>
        <v>3833</v>
      </c>
      <c r="J451" s="37">
        <f>3833</f>
        <v>3833</v>
      </c>
      <c r="K451" s="277"/>
      <c r="L451" s="71">
        <f t="shared" si="44"/>
        <v>3833</v>
      </c>
      <c r="M451" s="71">
        <f>3833</f>
        <v>3833</v>
      </c>
      <c r="N451" s="71"/>
    </row>
    <row r="452" spans="1:16" s="11" customFormat="1" ht="41.25">
      <c r="A452" s="145" t="s">
        <v>25</v>
      </c>
      <c r="B452" s="206" t="s">
        <v>26</v>
      </c>
      <c r="C452" s="85"/>
      <c r="D452" s="30"/>
      <c r="E452" s="85"/>
      <c r="F452" s="46">
        <f t="shared" si="42"/>
        <v>0</v>
      </c>
      <c r="G452" s="69">
        <f>SUM(G453,G454)</f>
        <v>0</v>
      </c>
      <c r="H452" s="69">
        <f>SUM(H453,H454)</f>
        <v>0</v>
      </c>
      <c r="I452" s="88">
        <f t="shared" si="43"/>
        <v>0</v>
      </c>
      <c r="J452" s="109">
        <f>SUM(J453,J454)</f>
        <v>0</v>
      </c>
      <c r="K452" s="109">
        <f>SUM(K453,K454)</f>
        <v>0</v>
      </c>
      <c r="L452" s="89">
        <f t="shared" si="44"/>
        <v>0</v>
      </c>
      <c r="M452" s="110">
        <f>SUM(M453,M454)</f>
        <v>0</v>
      </c>
      <c r="N452" s="110">
        <f>SUM(N453,N454)</f>
        <v>0</v>
      </c>
      <c r="O452" s="15"/>
      <c r="P452" s="15"/>
    </row>
    <row r="453" spans="1:16" s="11" customFormat="1" ht="54.75">
      <c r="A453" s="153" t="s">
        <v>101</v>
      </c>
      <c r="B453" s="207" t="s">
        <v>27</v>
      </c>
      <c r="C453" s="85" t="s">
        <v>274</v>
      </c>
      <c r="D453" s="126" t="s">
        <v>508</v>
      </c>
      <c r="E453" s="31" t="s">
        <v>219</v>
      </c>
      <c r="F453" s="68">
        <f>SUM(G453:H453)</f>
        <v>0</v>
      </c>
      <c r="G453" s="68"/>
      <c r="H453" s="68"/>
      <c r="I453" s="83">
        <f>SUM(J453:K453)</f>
        <v>0</v>
      </c>
      <c r="J453" s="83"/>
      <c r="K453" s="83"/>
      <c r="L453" s="84">
        <f>SUM(M453:N453)</f>
        <v>0</v>
      </c>
      <c r="M453" s="84"/>
      <c r="N453" s="84"/>
      <c r="O453" s="15"/>
      <c r="P453" s="15"/>
    </row>
    <row r="454" spans="1:16" s="11" customFormat="1" ht="41.25">
      <c r="A454" s="153" t="s">
        <v>29</v>
      </c>
      <c r="B454" s="206" t="s">
        <v>28</v>
      </c>
      <c r="C454" s="85" t="s">
        <v>274</v>
      </c>
      <c r="D454" s="126" t="s">
        <v>508</v>
      </c>
      <c r="E454" s="31" t="s">
        <v>219</v>
      </c>
      <c r="F454" s="68">
        <f>SUM(G454:H454)</f>
        <v>0</v>
      </c>
      <c r="G454" s="68"/>
      <c r="H454" s="68"/>
      <c r="I454" s="83">
        <f>SUM(J454:K454)</f>
        <v>0</v>
      </c>
      <c r="J454" s="83"/>
      <c r="K454" s="83"/>
      <c r="L454" s="84">
        <f>SUM(M454:N454)</f>
        <v>0</v>
      </c>
      <c r="M454" s="84"/>
      <c r="N454" s="84"/>
      <c r="O454" s="15"/>
      <c r="P454" s="15"/>
    </row>
    <row r="455" spans="1:16" s="11" customFormat="1" ht="27">
      <c r="A455" s="41" t="s">
        <v>323</v>
      </c>
      <c r="B455" s="194" t="s">
        <v>30</v>
      </c>
      <c r="C455" s="42"/>
      <c r="D455" s="34"/>
      <c r="E455" s="90"/>
      <c r="F455" s="73">
        <f t="shared" si="42"/>
        <v>6270</v>
      </c>
      <c r="G455" s="95">
        <f>SUM(G456)</f>
        <v>6270</v>
      </c>
      <c r="H455" s="95">
        <f>SUM(H456)</f>
        <v>0</v>
      </c>
      <c r="I455" s="91">
        <f>SUM(J455:K455)</f>
        <v>6479</v>
      </c>
      <c r="J455" s="96">
        <f>SUM(J456)</f>
        <v>6479</v>
      </c>
      <c r="K455" s="96">
        <f>SUM(K456)</f>
        <v>0</v>
      </c>
      <c r="L455" s="92">
        <f>SUM(M455:N455)</f>
        <v>6654</v>
      </c>
      <c r="M455" s="97">
        <f>SUM(M456)</f>
        <v>6654</v>
      </c>
      <c r="N455" s="97">
        <f>SUM(N456)</f>
        <v>0</v>
      </c>
      <c r="O455" s="15"/>
      <c r="P455" s="15"/>
    </row>
    <row r="456" spans="1:16" s="11" customFormat="1" ht="41.25">
      <c r="A456" s="35" t="s">
        <v>413</v>
      </c>
      <c r="B456" s="195" t="s">
        <v>31</v>
      </c>
      <c r="C456" s="31"/>
      <c r="D456" s="30"/>
      <c r="E456" s="31"/>
      <c r="F456" s="46">
        <f t="shared" si="42"/>
        <v>6270</v>
      </c>
      <c r="G456" s="64">
        <f>SUM(G457,G458,G459)</f>
        <v>6270</v>
      </c>
      <c r="H456" s="64">
        <f>SUM(H457,H458,H459)</f>
        <v>0</v>
      </c>
      <c r="I456" s="88">
        <f>SUM(J456:K456)</f>
        <v>6479</v>
      </c>
      <c r="J456" s="112">
        <f>SUM(J457,J458,J459)</f>
        <v>6479</v>
      </c>
      <c r="K456" s="112">
        <f>SUM(K457,K458,K459)</f>
        <v>0</v>
      </c>
      <c r="L456" s="89">
        <f>SUM(M456:N456)</f>
        <v>6654</v>
      </c>
      <c r="M456" s="113">
        <f>SUM(M457,M458,M459)</f>
        <v>6654</v>
      </c>
      <c r="N456" s="113">
        <f>SUM(N457,N458,N459)</f>
        <v>0</v>
      </c>
      <c r="O456" s="15"/>
      <c r="P456" s="15"/>
    </row>
    <row r="457" spans="1:14" s="28" customFormat="1" ht="27">
      <c r="A457" s="54" t="s">
        <v>33</v>
      </c>
      <c r="B457" s="184" t="s">
        <v>32</v>
      </c>
      <c r="C457" s="31" t="s">
        <v>237</v>
      </c>
      <c r="D457" s="126" t="s">
        <v>508</v>
      </c>
      <c r="E457" s="31" t="s">
        <v>325</v>
      </c>
      <c r="F457" s="68">
        <f t="shared" si="42"/>
        <v>4777</v>
      </c>
      <c r="G457" s="69">
        <f>4777</f>
        <v>4777</v>
      </c>
      <c r="H457" s="69"/>
      <c r="I457" s="37">
        <f t="shared" si="43"/>
        <v>4986</v>
      </c>
      <c r="J457" s="70">
        <f>4986</f>
        <v>4986</v>
      </c>
      <c r="K457" s="272"/>
      <c r="L457" s="71">
        <f t="shared" si="44"/>
        <v>5161</v>
      </c>
      <c r="M457" s="72">
        <f>5161</f>
        <v>5161</v>
      </c>
      <c r="N457" s="72"/>
    </row>
    <row r="458" spans="1:14" s="28" customFormat="1" ht="27">
      <c r="A458" s="54" t="s">
        <v>33</v>
      </c>
      <c r="B458" s="184" t="s">
        <v>32</v>
      </c>
      <c r="C458" s="31" t="s">
        <v>238</v>
      </c>
      <c r="D458" s="126" t="s">
        <v>508</v>
      </c>
      <c r="E458" s="31" t="s">
        <v>325</v>
      </c>
      <c r="F458" s="68">
        <f t="shared" si="42"/>
        <v>1484</v>
      </c>
      <c r="G458" s="68">
        <f>1484</f>
        <v>1484</v>
      </c>
      <c r="H458" s="68"/>
      <c r="I458" s="37">
        <f t="shared" si="43"/>
        <v>1484</v>
      </c>
      <c r="J458" s="37">
        <f>1484</f>
        <v>1484</v>
      </c>
      <c r="K458" s="277"/>
      <c r="L458" s="71">
        <f t="shared" si="44"/>
        <v>1484</v>
      </c>
      <c r="M458" s="71">
        <f>1484</f>
        <v>1484</v>
      </c>
      <c r="N458" s="71"/>
    </row>
    <row r="459" spans="1:16" ht="27">
      <c r="A459" s="54" t="s">
        <v>33</v>
      </c>
      <c r="B459" s="184" t="s">
        <v>32</v>
      </c>
      <c r="C459" s="31" t="s">
        <v>239</v>
      </c>
      <c r="D459" s="126" t="s">
        <v>508</v>
      </c>
      <c r="E459" s="31" t="s">
        <v>325</v>
      </c>
      <c r="F459" s="68">
        <f t="shared" si="42"/>
        <v>9</v>
      </c>
      <c r="G459" s="69">
        <f>9</f>
        <v>9</v>
      </c>
      <c r="H459" s="69"/>
      <c r="I459" s="37">
        <f t="shared" si="43"/>
        <v>9</v>
      </c>
      <c r="J459" s="70">
        <f>9</f>
        <v>9</v>
      </c>
      <c r="K459" s="272"/>
      <c r="L459" s="71">
        <f t="shared" si="44"/>
        <v>9</v>
      </c>
      <c r="M459" s="72">
        <f>9</f>
        <v>9</v>
      </c>
      <c r="N459" s="72"/>
      <c r="O459" s="15"/>
      <c r="P459" s="25"/>
    </row>
    <row r="460" spans="1:16" ht="13.5">
      <c r="A460" s="54"/>
      <c r="B460" s="184"/>
      <c r="C460" s="31"/>
      <c r="D460" s="126"/>
      <c r="E460" s="31"/>
      <c r="F460" s="68"/>
      <c r="G460" s="69"/>
      <c r="H460" s="69"/>
      <c r="I460" s="37"/>
      <c r="J460" s="70"/>
      <c r="K460" s="272"/>
      <c r="L460" s="71"/>
      <c r="M460" s="72"/>
      <c r="N460" s="72"/>
      <c r="O460" s="15"/>
      <c r="P460" s="25"/>
    </row>
    <row r="461" spans="1:16" ht="54.75">
      <c r="A461" s="41" t="s">
        <v>34</v>
      </c>
      <c r="B461" s="194" t="s">
        <v>399</v>
      </c>
      <c r="C461" s="42"/>
      <c r="D461" s="34"/>
      <c r="E461" s="42"/>
      <c r="F461" s="73">
        <f t="shared" si="42"/>
        <v>157385</v>
      </c>
      <c r="G461" s="74">
        <f>SUM(G462,G471,G478)</f>
        <v>157385</v>
      </c>
      <c r="H461" s="74">
        <f>SUM(H462,H471,H478)</f>
        <v>0</v>
      </c>
      <c r="I461" s="91">
        <f t="shared" si="43"/>
        <v>158798</v>
      </c>
      <c r="J461" s="75">
        <f>SUM(J462,J471,J478)</f>
        <v>158798</v>
      </c>
      <c r="K461" s="75">
        <f>SUM(K462,K471,K478)</f>
        <v>0</v>
      </c>
      <c r="L461" s="92">
        <f t="shared" si="44"/>
        <v>164158</v>
      </c>
      <c r="M461" s="76">
        <f>SUM(M462,M471,M478)</f>
        <v>164158</v>
      </c>
      <c r="N461" s="76">
        <f>SUM(N462,N471,N478)</f>
        <v>0</v>
      </c>
      <c r="O461" s="25"/>
      <c r="P461" s="25"/>
    </row>
    <row r="462" spans="1:16" s="13" customFormat="1" ht="27">
      <c r="A462" s="41" t="s">
        <v>35</v>
      </c>
      <c r="B462" s="194" t="s">
        <v>37</v>
      </c>
      <c r="C462" s="42"/>
      <c r="D462" s="34"/>
      <c r="E462" s="42"/>
      <c r="F462" s="73">
        <f t="shared" si="42"/>
        <v>92494</v>
      </c>
      <c r="G462" s="74">
        <f>SUM(G463,G467)</f>
        <v>92494</v>
      </c>
      <c r="H462" s="74">
        <f>SUM(H463,H467)</f>
        <v>0</v>
      </c>
      <c r="I462" s="91">
        <f t="shared" si="43"/>
        <v>93519</v>
      </c>
      <c r="J462" s="75">
        <f>SUM(J463,J467)</f>
        <v>93519</v>
      </c>
      <c r="K462" s="75">
        <f>SUM(K463,K467)</f>
        <v>0</v>
      </c>
      <c r="L462" s="92">
        <f t="shared" si="44"/>
        <v>96747</v>
      </c>
      <c r="M462" s="76">
        <f>SUM(M463,M467)</f>
        <v>96747</v>
      </c>
      <c r="N462" s="76">
        <f>SUM(N463,N467)</f>
        <v>0</v>
      </c>
      <c r="O462" s="25"/>
      <c r="P462" s="25"/>
    </row>
    <row r="463" spans="1:16" s="13" customFormat="1" ht="41.25">
      <c r="A463" s="93" t="s">
        <v>504</v>
      </c>
      <c r="B463" s="186" t="s">
        <v>38</v>
      </c>
      <c r="C463" s="33"/>
      <c r="D463" s="155"/>
      <c r="E463" s="31"/>
      <c r="F463" s="46">
        <f t="shared" si="42"/>
        <v>91711</v>
      </c>
      <c r="G463" s="64">
        <f>SUM(G464,G465,G466)</f>
        <v>91711</v>
      </c>
      <c r="H463" s="64">
        <f>SUM(H464,H465,H466)</f>
        <v>0</v>
      </c>
      <c r="I463" s="88">
        <f t="shared" si="43"/>
        <v>92736</v>
      </c>
      <c r="J463" s="112">
        <f>SUM(J464,J465,J466)</f>
        <v>92736</v>
      </c>
      <c r="K463" s="112">
        <f>SUM(K464,K465,K466)</f>
        <v>0</v>
      </c>
      <c r="L463" s="89">
        <f t="shared" si="44"/>
        <v>95964</v>
      </c>
      <c r="M463" s="113">
        <f>SUM(M464,M465,M466)</f>
        <v>95964</v>
      </c>
      <c r="N463" s="113">
        <f>SUM(N464,N465,N466)</f>
        <v>0</v>
      </c>
      <c r="O463" s="25"/>
      <c r="P463" s="25"/>
    </row>
    <row r="464" spans="1:16" s="21" customFormat="1" ht="41.25">
      <c r="A464" s="94" t="s">
        <v>247</v>
      </c>
      <c r="B464" s="187" t="s">
        <v>39</v>
      </c>
      <c r="C464" s="33" t="s">
        <v>237</v>
      </c>
      <c r="D464" s="33" t="s">
        <v>219</v>
      </c>
      <c r="E464" s="33" t="s">
        <v>36</v>
      </c>
      <c r="F464" s="46">
        <f t="shared" si="42"/>
        <v>87677</v>
      </c>
      <c r="G464" s="51">
        <f>87677</f>
        <v>87677</v>
      </c>
      <c r="H464" s="51"/>
      <c r="I464" s="48">
        <f t="shared" si="43"/>
        <v>91483</v>
      </c>
      <c r="J464" s="52">
        <f>91483</f>
        <v>91483</v>
      </c>
      <c r="K464" s="269"/>
      <c r="L464" s="39">
        <f t="shared" si="44"/>
        <v>94711</v>
      </c>
      <c r="M464" s="53">
        <f>94711</f>
        <v>94711</v>
      </c>
      <c r="N464" s="53"/>
      <c r="O464" s="26"/>
      <c r="P464" s="26"/>
    </row>
    <row r="465" spans="1:16" s="9" customFormat="1" ht="41.25">
      <c r="A465" s="94" t="s">
        <v>247</v>
      </c>
      <c r="B465" s="187" t="s">
        <v>39</v>
      </c>
      <c r="C465" s="33" t="s">
        <v>238</v>
      </c>
      <c r="D465" s="33" t="s">
        <v>219</v>
      </c>
      <c r="E465" s="33" t="s">
        <v>36</v>
      </c>
      <c r="F465" s="46">
        <f t="shared" si="42"/>
        <v>4017</v>
      </c>
      <c r="G465" s="46">
        <f>4017</f>
        <v>4017</v>
      </c>
      <c r="H465" s="46"/>
      <c r="I465" s="48">
        <f t="shared" si="43"/>
        <v>1236</v>
      </c>
      <c r="J465" s="48">
        <f>1236</f>
        <v>1236</v>
      </c>
      <c r="K465" s="273"/>
      <c r="L465" s="39">
        <f t="shared" si="44"/>
        <v>1236</v>
      </c>
      <c r="M465" s="39">
        <f>1236</f>
        <v>1236</v>
      </c>
      <c r="N465" s="39"/>
      <c r="O465" s="23"/>
      <c r="P465" s="23"/>
    </row>
    <row r="466" spans="1:14" s="29" customFormat="1" ht="72" customHeight="1">
      <c r="A466" s="94" t="s">
        <v>247</v>
      </c>
      <c r="B466" s="187" t="s">
        <v>39</v>
      </c>
      <c r="C466" s="33" t="s">
        <v>239</v>
      </c>
      <c r="D466" s="33" t="s">
        <v>219</v>
      </c>
      <c r="E466" s="33" t="s">
        <v>36</v>
      </c>
      <c r="F466" s="46">
        <f t="shared" si="42"/>
        <v>17</v>
      </c>
      <c r="G466" s="46">
        <f>17</f>
        <v>17</v>
      </c>
      <c r="H466" s="46"/>
      <c r="I466" s="48">
        <f t="shared" si="43"/>
        <v>17</v>
      </c>
      <c r="J466" s="48">
        <f>17</f>
        <v>17</v>
      </c>
      <c r="K466" s="273"/>
      <c r="L466" s="39">
        <f t="shared" si="44"/>
        <v>17</v>
      </c>
      <c r="M466" s="39">
        <f>17</f>
        <v>17</v>
      </c>
      <c r="N466" s="39"/>
    </row>
    <row r="467" spans="1:16" s="9" customFormat="1" ht="27">
      <c r="A467" s="93" t="s">
        <v>524</v>
      </c>
      <c r="B467" s="186" t="s">
        <v>40</v>
      </c>
      <c r="C467" s="33"/>
      <c r="D467" s="156"/>
      <c r="E467" s="31"/>
      <c r="F467" s="46">
        <f t="shared" si="42"/>
        <v>783</v>
      </c>
      <c r="G467" s="64">
        <f>SUM(G468,G469,G470)</f>
        <v>783</v>
      </c>
      <c r="H467" s="64">
        <f>SUM(H468,H469,H470)</f>
        <v>0</v>
      </c>
      <c r="I467" s="88">
        <f t="shared" si="43"/>
        <v>783</v>
      </c>
      <c r="J467" s="112">
        <f>SUM(J468,J469,J470)</f>
        <v>783</v>
      </c>
      <c r="K467" s="112">
        <f>SUM(K468,K469,K470)</f>
        <v>0</v>
      </c>
      <c r="L467" s="89">
        <f t="shared" si="44"/>
        <v>783</v>
      </c>
      <c r="M467" s="113">
        <f>SUM(M468,M469,M470)</f>
        <v>783</v>
      </c>
      <c r="N467" s="113">
        <f>SUM(N468,N469,N470)</f>
        <v>0</v>
      </c>
      <c r="O467" s="23"/>
      <c r="P467" s="23"/>
    </row>
    <row r="468" spans="1:16" s="9" customFormat="1" ht="27">
      <c r="A468" s="93" t="s">
        <v>250</v>
      </c>
      <c r="B468" s="187" t="s">
        <v>41</v>
      </c>
      <c r="C468" s="33" t="s">
        <v>238</v>
      </c>
      <c r="D468" s="33" t="s">
        <v>219</v>
      </c>
      <c r="E468" s="33" t="s">
        <v>36</v>
      </c>
      <c r="F468" s="46">
        <f t="shared" si="42"/>
        <v>3</v>
      </c>
      <c r="G468" s="64">
        <f>3</f>
        <v>3</v>
      </c>
      <c r="H468" s="64"/>
      <c r="I468" s="88">
        <f t="shared" si="43"/>
        <v>3</v>
      </c>
      <c r="J468" s="112">
        <f>3</f>
        <v>3</v>
      </c>
      <c r="K468" s="112"/>
      <c r="L468" s="89">
        <f t="shared" si="44"/>
        <v>3</v>
      </c>
      <c r="M468" s="113">
        <f>3</f>
        <v>3</v>
      </c>
      <c r="N468" s="113"/>
      <c r="O468" s="23"/>
      <c r="P468" s="23"/>
    </row>
    <row r="469" spans="1:16" s="9" customFormat="1" ht="27">
      <c r="A469" s="93" t="s">
        <v>250</v>
      </c>
      <c r="B469" s="187" t="s">
        <v>41</v>
      </c>
      <c r="C469" s="33" t="s">
        <v>355</v>
      </c>
      <c r="D469" s="33" t="s">
        <v>219</v>
      </c>
      <c r="E469" s="33" t="s">
        <v>36</v>
      </c>
      <c r="F469" s="46">
        <f t="shared" si="42"/>
        <v>150</v>
      </c>
      <c r="G469" s="46">
        <f>150</f>
        <v>150</v>
      </c>
      <c r="H469" s="46"/>
      <c r="I469" s="48">
        <f t="shared" si="43"/>
        <v>150</v>
      </c>
      <c r="J469" s="48">
        <f>150</f>
        <v>150</v>
      </c>
      <c r="K469" s="273"/>
      <c r="L469" s="39">
        <f t="shared" si="44"/>
        <v>150</v>
      </c>
      <c r="M469" s="39">
        <f>150</f>
        <v>150</v>
      </c>
      <c r="N469" s="39"/>
      <c r="O469" s="23"/>
      <c r="P469" s="23"/>
    </row>
    <row r="470" spans="1:16" s="9" customFormat="1" ht="27">
      <c r="A470" s="93" t="s">
        <v>250</v>
      </c>
      <c r="B470" s="193" t="s">
        <v>41</v>
      </c>
      <c r="C470" s="33" t="s">
        <v>274</v>
      </c>
      <c r="D470" s="33" t="s">
        <v>241</v>
      </c>
      <c r="E470" s="33" t="s">
        <v>241</v>
      </c>
      <c r="F470" s="46">
        <f t="shared" si="42"/>
        <v>630</v>
      </c>
      <c r="G470" s="51">
        <f>630</f>
        <v>630</v>
      </c>
      <c r="H470" s="51"/>
      <c r="I470" s="48">
        <f t="shared" si="43"/>
        <v>630</v>
      </c>
      <c r="J470" s="52">
        <f>630</f>
        <v>630</v>
      </c>
      <c r="K470" s="269"/>
      <c r="L470" s="39">
        <f t="shared" si="44"/>
        <v>630</v>
      </c>
      <c r="M470" s="53">
        <f>630</f>
        <v>630</v>
      </c>
      <c r="N470" s="53"/>
      <c r="O470" s="23"/>
      <c r="P470" s="23"/>
    </row>
    <row r="471" spans="1:16" s="9" customFormat="1" ht="69">
      <c r="A471" s="41" t="s">
        <v>42</v>
      </c>
      <c r="B471" s="194" t="s">
        <v>43</v>
      </c>
      <c r="C471" s="42"/>
      <c r="D471" s="124"/>
      <c r="E471" s="42"/>
      <c r="F471" s="73">
        <f t="shared" si="42"/>
        <v>61706</v>
      </c>
      <c r="G471" s="74">
        <f>SUM(G472,G476)</f>
        <v>61706</v>
      </c>
      <c r="H471" s="74">
        <f>SUM(H472,H476)</f>
        <v>0</v>
      </c>
      <c r="I471" s="91">
        <f t="shared" si="43"/>
        <v>61989</v>
      </c>
      <c r="J471" s="75">
        <f>SUM(J472,J476)</f>
        <v>61989</v>
      </c>
      <c r="K471" s="75">
        <f>SUM(K472,K476)</f>
        <v>0</v>
      </c>
      <c r="L471" s="92">
        <f t="shared" si="44"/>
        <v>64028</v>
      </c>
      <c r="M471" s="76">
        <f>SUM(M472,M476)</f>
        <v>64028</v>
      </c>
      <c r="N471" s="76">
        <f>SUM(N472,N476)</f>
        <v>0</v>
      </c>
      <c r="O471" s="23"/>
      <c r="P471" s="23"/>
    </row>
    <row r="472" spans="1:16" s="9" customFormat="1" ht="41.25">
      <c r="A472" s="93" t="s">
        <v>249</v>
      </c>
      <c r="B472" s="186" t="s">
        <v>44</v>
      </c>
      <c r="C472" s="33"/>
      <c r="D472" s="87"/>
      <c r="E472" s="31"/>
      <c r="F472" s="46">
        <f t="shared" si="42"/>
        <v>60920</v>
      </c>
      <c r="G472" s="64">
        <f>SUM(G473,G474,G475)</f>
        <v>60920</v>
      </c>
      <c r="H472" s="64">
        <f>SUM(H473,H474,H475)</f>
        <v>0</v>
      </c>
      <c r="I472" s="88">
        <f t="shared" si="43"/>
        <v>61290</v>
      </c>
      <c r="J472" s="112">
        <f>SUM(J473,J474,J475)</f>
        <v>61290</v>
      </c>
      <c r="K472" s="112">
        <f>SUM(K473,K474,K475)</f>
        <v>0</v>
      </c>
      <c r="L472" s="89">
        <f t="shared" si="44"/>
        <v>63329</v>
      </c>
      <c r="M472" s="113">
        <f>SUM(M473,M474,M475)</f>
        <v>63329</v>
      </c>
      <c r="N472" s="113">
        <f>SUM(N473,N474,N475)</f>
        <v>0</v>
      </c>
      <c r="O472" s="23"/>
      <c r="P472" s="23"/>
    </row>
    <row r="473" spans="1:16" s="9" customFormat="1" ht="41.25">
      <c r="A473" s="94" t="s">
        <v>247</v>
      </c>
      <c r="B473" s="187" t="s">
        <v>612</v>
      </c>
      <c r="C473" s="33" t="s">
        <v>237</v>
      </c>
      <c r="D473" s="33" t="s">
        <v>219</v>
      </c>
      <c r="E473" s="33" t="s">
        <v>248</v>
      </c>
      <c r="F473" s="46">
        <f t="shared" si="42"/>
        <v>52050</v>
      </c>
      <c r="G473" s="46">
        <f>52050</f>
        <v>52050</v>
      </c>
      <c r="H473" s="46"/>
      <c r="I473" s="48">
        <f t="shared" si="43"/>
        <v>54119</v>
      </c>
      <c r="J473" s="48">
        <f>54119</f>
        <v>54119</v>
      </c>
      <c r="K473" s="273"/>
      <c r="L473" s="39">
        <f t="shared" si="44"/>
        <v>55998</v>
      </c>
      <c r="M473" s="39">
        <f>55998</f>
        <v>55998</v>
      </c>
      <c r="N473" s="39"/>
      <c r="O473" s="23"/>
      <c r="P473" s="23"/>
    </row>
    <row r="474" spans="1:14" s="22" customFormat="1" ht="41.25">
      <c r="A474" s="94" t="s">
        <v>247</v>
      </c>
      <c r="B474" s="187" t="s">
        <v>612</v>
      </c>
      <c r="C474" s="33" t="s">
        <v>238</v>
      </c>
      <c r="D474" s="33" t="s">
        <v>219</v>
      </c>
      <c r="E474" s="33" t="s">
        <v>248</v>
      </c>
      <c r="F474" s="46">
        <f t="shared" si="42"/>
        <v>8555</v>
      </c>
      <c r="G474" s="51">
        <f>8555</f>
        <v>8555</v>
      </c>
      <c r="H474" s="51"/>
      <c r="I474" s="48">
        <f t="shared" si="43"/>
        <v>6891</v>
      </c>
      <c r="J474" s="52">
        <f>6891</f>
        <v>6891</v>
      </c>
      <c r="K474" s="269"/>
      <c r="L474" s="39">
        <f t="shared" si="44"/>
        <v>7051</v>
      </c>
      <c r="M474" s="53">
        <f>7051</f>
        <v>7051</v>
      </c>
      <c r="N474" s="53"/>
    </row>
    <row r="475" spans="1:16" s="21" customFormat="1" ht="41.25">
      <c r="A475" s="94" t="s">
        <v>247</v>
      </c>
      <c r="B475" s="187" t="s">
        <v>612</v>
      </c>
      <c r="C475" s="33" t="s">
        <v>239</v>
      </c>
      <c r="D475" s="33" t="s">
        <v>219</v>
      </c>
      <c r="E475" s="33" t="s">
        <v>248</v>
      </c>
      <c r="F475" s="46">
        <f t="shared" si="42"/>
        <v>315</v>
      </c>
      <c r="G475" s="51">
        <f>315</f>
        <v>315</v>
      </c>
      <c r="H475" s="51"/>
      <c r="I475" s="48">
        <f t="shared" si="43"/>
        <v>280</v>
      </c>
      <c r="J475" s="52">
        <f>280</f>
        <v>280</v>
      </c>
      <c r="K475" s="269"/>
      <c r="L475" s="39">
        <f t="shared" si="44"/>
        <v>280</v>
      </c>
      <c r="M475" s="53">
        <f>280</f>
        <v>280</v>
      </c>
      <c r="N475" s="53"/>
      <c r="O475" s="26"/>
      <c r="P475" s="26"/>
    </row>
    <row r="476" spans="1:16" s="21" customFormat="1" ht="41.25">
      <c r="A476" s="107" t="s">
        <v>613</v>
      </c>
      <c r="B476" s="186" t="s">
        <v>614</v>
      </c>
      <c r="C476" s="33"/>
      <c r="D476" s="87"/>
      <c r="E476" s="85"/>
      <c r="F476" s="46">
        <f t="shared" si="42"/>
        <v>786</v>
      </c>
      <c r="G476" s="68">
        <f>SUM(G477)</f>
        <v>786</v>
      </c>
      <c r="H476" s="68">
        <f>SUM(H477)</f>
        <v>0</v>
      </c>
      <c r="I476" s="88">
        <f t="shared" si="43"/>
        <v>699</v>
      </c>
      <c r="J476" s="83">
        <f>SUM(J477)</f>
        <v>699</v>
      </c>
      <c r="K476" s="83">
        <f>SUM(K477)</f>
        <v>0</v>
      </c>
      <c r="L476" s="89">
        <f t="shared" si="44"/>
        <v>699</v>
      </c>
      <c r="M476" s="84">
        <f>SUM(M477)</f>
        <v>699</v>
      </c>
      <c r="N476" s="84">
        <f>SUM(N477)</f>
        <v>0</v>
      </c>
      <c r="O476" s="26"/>
      <c r="P476" s="26"/>
    </row>
    <row r="477" spans="1:16" s="21" customFormat="1" ht="27">
      <c r="A477" s="94" t="s">
        <v>616</v>
      </c>
      <c r="B477" s="187" t="s">
        <v>615</v>
      </c>
      <c r="C477" s="33" t="s">
        <v>238</v>
      </c>
      <c r="D477" s="33" t="s">
        <v>219</v>
      </c>
      <c r="E477" s="33" t="s">
        <v>248</v>
      </c>
      <c r="F477" s="46">
        <f t="shared" si="42"/>
        <v>786</v>
      </c>
      <c r="G477" s="46">
        <f>786</f>
        <v>786</v>
      </c>
      <c r="H477" s="46"/>
      <c r="I477" s="48">
        <f t="shared" si="43"/>
        <v>699</v>
      </c>
      <c r="J477" s="48">
        <f>699</f>
        <v>699</v>
      </c>
      <c r="K477" s="273"/>
      <c r="L477" s="39">
        <f t="shared" si="44"/>
        <v>699</v>
      </c>
      <c r="M477" s="39">
        <f>699</f>
        <v>699</v>
      </c>
      <c r="N477" s="39"/>
      <c r="O477" s="26"/>
      <c r="P477" s="26"/>
    </row>
    <row r="478" spans="1:14" s="9" customFormat="1" ht="13.5">
      <c r="A478" s="41" t="s">
        <v>617</v>
      </c>
      <c r="B478" s="194" t="s">
        <v>618</v>
      </c>
      <c r="C478" s="42"/>
      <c r="D478" s="127"/>
      <c r="E478" s="90"/>
      <c r="F478" s="73">
        <f t="shared" si="42"/>
        <v>3185</v>
      </c>
      <c r="G478" s="73">
        <f>SUM(G479,G482)</f>
        <v>3185</v>
      </c>
      <c r="H478" s="73">
        <f>SUM(H479,H482)</f>
        <v>0</v>
      </c>
      <c r="I478" s="91">
        <f t="shared" si="43"/>
        <v>3290</v>
      </c>
      <c r="J478" s="91">
        <f>SUM(J479,J482)</f>
        <v>3290</v>
      </c>
      <c r="K478" s="91">
        <f>SUM(K479,K482)</f>
        <v>0</v>
      </c>
      <c r="L478" s="92">
        <f t="shared" si="44"/>
        <v>3383</v>
      </c>
      <c r="M478" s="92">
        <f>SUM(M479,M482)</f>
        <v>3383</v>
      </c>
      <c r="N478" s="92">
        <f>SUM(N479,N482)</f>
        <v>0</v>
      </c>
    </row>
    <row r="479" spans="1:14" s="9" customFormat="1" ht="48.75" customHeight="1">
      <c r="A479" s="100" t="s">
        <v>619</v>
      </c>
      <c r="B479" s="186" t="s">
        <v>620</v>
      </c>
      <c r="C479" s="33"/>
      <c r="D479" s="128"/>
      <c r="E479" s="85"/>
      <c r="F479" s="46">
        <f t="shared" si="42"/>
        <v>3185</v>
      </c>
      <c r="G479" s="68">
        <f>SUM(G480,G481)</f>
        <v>3185</v>
      </c>
      <c r="H479" s="68">
        <f>SUM(H480,H481)</f>
        <v>0</v>
      </c>
      <c r="I479" s="88">
        <f t="shared" si="43"/>
        <v>3290</v>
      </c>
      <c r="J479" s="83">
        <f>SUM(J480,J481)</f>
        <v>3290</v>
      </c>
      <c r="K479" s="83">
        <f>SUM(K480,K481)</f>
        <v>0</v>
      </c>
      <c r="L479" s="89">
        <f t="shared" si="44"/>
        <v>3383</v>
      </c>
      <c r="M479" s="84">
        <f>SUM(M480,M481)</f>
        <v>3383</v>
      </c>
      <c r="N479" s="84">
        <f>SUM(N480,N481)</f>
        <v>0</v>
      </c>
    </row>
    <row r="480" spans="1:16" s="21" customFormat="1" ht="13.5">
      <c r="A480" s="93" t="s">
        <v>622</v>
      </c>
      <c r="B480" s="187" t="s">
        <v>621</v>
      </c>
      <c r="C480" s="33" t="s">
        <v>238</v>
      </c>
      <c r="D480" s="33" t="s">
        <v>219</v>
      </c>
      <c r="E480" s="33" t="s">
        <v>36</v>
      </c>
      <c r="F480" s="46">
        <f t="shared" si="42"/>
        <v>81</v>
      </c>
      <c r="G480" s="46">
        <f>81</f>
        <v>81</v>
      </c>
      <c r="H480" s="46"/>
      <c r="I480" s="48">
        <f t="shared" si="43"/>
        <v>81</v>
      </c>
      <c r="J480" s="48">
        <f>81</f>
        <v>81</v>
      </c>
      <c r="K480" s="273"/>
      <c r="L480" s="39">
        <f t="shared" si="44"/>
        <v>81</v>
      </c>
      <c r="M480" s="39">
        <f>81</f>
        <v>81</v>
      </c>
      <c r="N480" s="39"/>
      <c r="O480" s="26"/>
      <c r="P480" s="26"/>
    </row>
    <row r="481" spans="1:14" s="29" customFormat="1" ht="74.25" customHeight="1">
      <c r="A481" s="93" t="s">
        <v>622</v>
      </c>
      <c r="B481" s="187" t="s">
        <v>621</v>
      </c>
      <c r="C481" s="33" t="s">
        <v>274</v>
      </c>
      <c r="D481" s="33" t="s">
        <v>325</v>
      </c>
      <c r="E481" s="33" t="s">
        <v>219</v>
      </c>
      <c r="F481" s="46">
        <f>SUM(G481:H481)</f>
        <v>3104</v>
      </c>
      <c r="G481" s="51">
        <f>3104</f>
        <v>3104</v>
      </c>
      <c r="H481" s="51"/>
      <c r="I481" s="48">
        <f>SUM(J481:K481)</f>
        <v>3209</v>
      </c>
      <c r="J481" s="52">
        <f>3209</f>
        <v>3209</v>
      </c>
      <c r="K481" s="269"/>
      <c r="L481" s="39">
        <f>SUM(M481:N481)</f>
        <v>3302</v>
      </c>
      <c r="M481" s="53">
        <f>3302</f>
        <v>3302</v>
      </c>
      <c r="N481" s="53"/>
    </row>
    <row r="482" spans="1:16" s="9" customFormat="1" ht="28.5" customHeight="1">
      <c r="A482" s="172" t="s">
        <v>543</v>
      </c>
      <c r="B482" s="175" t="s">
        <v>546</v>
      </c>
      <c r="C482" s="166"/>
      <c r="D482" s="166"/>
      <c r="E482" s="173"/>
      <c r="F482" s="167">
        <f>SUM(G482:H482)</f>
        <v>0</v>
      </c>
      <c r="G482" s="168">
        <f>SUM(G483,G484)</f>
        <v>0</v>
      </c>
      <c r="H482" s="168">
        <f>SUM(H483,H484)</f>
        <v>0</v>
      </c>
      <c r="I482" s="169">
        <f>SUM(J482:K482)</f>
        <v>0</v>
      </c>
      <c r="J482" s="170">
        <f>SUM(J483,J484)</f>
        <v>0</v>
      </c>
      <c r="K482" s="170">
        <f>SUM(K483,K484)</f>
        <v>0</v>
      </c>
      <c r="L482" s="171">
        <f>SUM(M482:N482)</f>
        <v>0</v>
      </c>
      <c r="M482" s="135">
        <f>SUM(M483,M484)</f>
        <v>0</v>
      </c>
      <c r="N482" s="135">
        <f>SUM(N483,N484)</f>
        <v>0</v>
      </c>
      <c r="O482" s="23"/>
      <c r="P482" s="23"/>
    </row>
    <row r="483" spans="1:16" s="9" customFormat="1" ht="41.25">
      <c r="A483" s="172" t="s">
        <v>544</v>
      </c>
      <c r="B483" s="176" t="s">
        <v>545</v>
      </c>
      <c r="C483" s="166" t="s">
        <v>238</v>
      </c>
      <c r="D483" s="166" t="s">
        <v>71</v>
      </c>
      <c r="E483" s="166" t="s">
        <v>325</v>
      </c>
      <c r="F483" s="167">
        <f>SUM(G483:H483)</f>
        <v>0</v>
      </c>
      <c r="G483" s="168"/>
      <c r="H483" s="168"/>
      <c r="I483" s="169">
        <f>SUM(J483:K483)</f>
        <v>0</v>
      </c>
      <c r="J483" s="170"/>
      <c r="K483" s="170"/>
      <c r="L483" s="171">
        <f>SUM(M483:N483)</f>
        <v>0</v>
      </c>
      <c r="M483" s="135"/>
      <c r="N483" s="135"/>
      <c r="O483" s="23"/>
      <c r="P483" s="23"/>
    </row>
    <row r="484" spans="1:14" s="9" customFormat="1" ht="41.25">
      <c r="A484" s="174" t="s">
        <v>671</v>
      </c>
      <c r="B484" s="173" t="s">
        <v>672</v>
      </c>
      <c r="C484" s="166" t="s">
        <v>238</v>
      </c>
      <c r="D484" s="166" t="s">
        <v>71</v>
      </c>
      <c r="E484" s="166" t="s">
        <v>325</v>
      </c>
      <c r="F484" s="167">
        <f>SUM(G484:H484)</f>
        <v>0</v>
      </c>
      <c r="G484" s="168"/>
      <c r="H484" s="168"/>
      <c r="I484" s="169">
        <f>SUM(J484:K484)</f>
        <v>0</v>
      </c>
      <c r="J484" s="170"/>
      <c r="K484" s="170"/>
      <c r="L484" s="171">
        <f>SUM(M484:N484)</f>
        <v>0</v>
      </c>
      <c r="M484" s="135"/>
      <c r="N484" s="135"/>
    </row>
    <row r="485" spans="1:16" s="9" customFormat="1" ht="13.5">
      <c r="A485" s="93"/>
      <c r="B485" s="187"/>
      <c r="C485" s="33"/>
      <c r="D485" s="33"/>
      <c r="E485" s="33"/>
      <c r="F485" s="46"/>
      <c r="G485" s="51"/>
      <c r="H485" s="51"/>
      <c r="I485" s="48"/>
      <c r="J485" s="52"/>
      <c r="K485" s="269"/>
      <c r="L485" s="39"/>
      <c r="M485" s="53"/>
      <c r="N485" s="53"/>
      <c r="O485" s="23"/>
      <c r="P485" s="23"/>
    </row>
    <row r="486" spans="1:16" s="9" customFormat="1" ht="54.75">
      <c r="A486" s="157" t="s">
        <v>623</v>
      </c>
      <c r="B486" s="194" t="s">
        <v>624</v>
      </c>
      <c r="C486" s="42"/>
      <c r="D486" s="124"/>
      <c r="E486" s="90"/>
      <c r="F486" s="73">
        <f aca="true" t="shared" si="45" ref="F486:F550">SUM(G486:H486)</f>
        <v>14603</v>
      </c>
      <c r="G486" s="73">
        <f>SUM(G487,G506)</f>
        <v>14603</v>
      </c>
      <c r="H486" s="73">
        <f>SUM(H487,H506)</f>
        <v>0</v>
      </c>
      <c r="I486" s="91">
        <f>SUM(J486:K486)</f>
        <v>15516</v>
      </c>
      <c r="J486" s="91">
        <f>SUM(J487,J506)</f>
        <v>15516</v>
      </c>
      <c r="K486" s="91">
        <f>SUM(K487,K506)</f>
        <v>0</v>
      </c>
      <c r="L486" s="92">
        <f>SUM(M486:N486)</f>
        <v>16015</v>
      </c>
      <c r="M486" s="92">
        <f>SUM(M487,M506)</f>
        <v>16015</v>
      </c>
      <c r="N486" s="92">
        <f>SUM(N487,N506)</f>
        <v>0</v>
      </c>
      <c r="O486" s="23"/>
      <c r="P486" s="23"/>
    </row>
    <row r="487" spans="1:16" s="9" customFormat="1" ht="27">
      <c r="A487" s="106" t="s">
        <v>625</v>
      </c>
      <c r="B487" s="194" t="s">
        <v>626</v>
      </c>
      <c r="C487" s="42"/>
      <c r="D487" s="124"/>
      <c r="E487" s="90"/>
      <c r="F487" s="73">
        <f t="shared" si="45"/>
        <v>14603</v>
      </c>
      <c r="G487" s="95">
        <f>SUM(G488,G492,G494,G496,G498,G500,G502,G504)</f>
        <v>14603</v>
      </c>
      <c r="H487" s="95">
        <f>SUM(H488,H492,H494,H496,H498,H500,H502,H504)</f>
        <v>0</v>
      </c>
      <c r="I487" s="91">
        <f aca="true" t="shared" si="46" ref="I487:I558">SUM(J487:K487)</f>
        <v>15516</v>
      </c>
      <c r="J487" s="96">
        <f>SUM(J488,J492,J494,J496,J498,J500,J502,J504)</f>
        <v>15516</v>
      </c>
      <c r="K487" s="96">
        <f>SUM(K488,K492,K494,K496,K498,K500,K502,K504)</f>
        <v>0</v>
      </c>
      <c r="L487" s="92">
        <f aca="true" t="shared" si="47" ref="L487:L558">SUM(M487:N487)</f>
        <v>16015</v>
      </c>
      <c r="M487" s="97">
        <f>SUM(M488,M492,M494,M496,M498,M500,M502,M504)</f>
        <v>16015</v>
      </c>
      <c r="N487" s="97">
        <f>SUM(N488,N492,N494,N496,N498,N500,N502,N504)</f>
        <v>0</v>
      </c>
      <c r="O487" s="23"/>
      <c r="P487" s="23"/>
    </row>
    <row r="488" spans="1:16" s="9" customFormat="1" ht="54.75">
      <c r="A488" s="54" t="s">
        <v>627</v>
      </c>
      <c r="B488" s="186" t="s">
        <v>628</v>
      </c>
      <c r="C488" s="33"/>
      <c r="D488" s="87"/>
      <c r="E488" s="87"/>
      <c r="F488" s="46">
        <f t="shared" si="45"/>
        <v>720</v>
      </c>
      <c r="G488" s="69">
        <f>SUM(G489,G490,G491)</f>
        <v>720</v>
      </c>
      <c r="H488" s="69">
        <f>SUM(H489,H490,H491)</f>
        <v>0</v>
      </c>
      <c r="I488" s="88">
        <f t="shared" si="46"/>
        <v>1110</v>
      </c>
      <c r="J488" s="109">
        <f>SUM(J489,J490,J491)</f>
        <v>1110</v>
      </c>
      <c r="K488" s="109">
        <f>SUM(K489,K490,K491)</f>
        <v>0</v>
      </c>
      <c r="L488" s="89">
        <f t="shared" si="47"/>
        <v>1150</v>
      </c>
      <c r="M488" s="110">
        <f>SUM(M489,M490,M491)</f>
        <v>1150</v>
      </c>
      <c r="N488" s="110">
        <f>SUM(N489,N490,N491)</f>
        <v>0</v>
      </c>
      <c r="O488" s="23"/>
      <c r="P488" s="23"/>
    </row>
    <row r="489" spans="1:16" s="9" customFormat="1" ht="33" customHeight="1">
      <c r="A489" s="54" t="s">
        <v>630</v>
      </c>
      <c r="B489" s="187" t="s">
        <v>629</v>
      </c>
      <c r="C489" s="33" t="s">
        <v>238</v>
      </c>
      <c r="D489" s="33" t="s">
        <v>218</v>
      </c>
      <c r="E489" s="33" t="s">
        <v>624</v>
      </c>
      <c r="F489" s="46">
        <f t="shared" si="45"/>
        <v>720</v>
      </c>
      <c r="G489" s="51">
        <f>720</f>
        <v>720</v>
      </c>
      <c r="H489" s="51"/>
      <c r="I489" s="48">
        <f t="shared" si="46"/>
        <v>1110</v>
      </c>
      <c r="J489" s="52">
        <f>1110</f>
        <v>1110</v>
      </c>
      <c r="K489" s="269"/>
      <c r="L489" s="39">
        <f t="shared" si="47"/>
        <v>1150</v>
      </c>
      <c r="M489" s="53">
        <f>1150</f>
        <v>1150</v>
      </c>
      <c r="N489" s="53"/>
      <c r="O489" s="23"/>
      <c r="P489" s="23"/>
    </row>
    <row r="490" spans="1:16" s="9" customFormat="1" ht="33" customHeight="1">
      <c r="A490" s="54" t="s">
        <v>630</v>
      </c>
      <c r="B490" s="187" t="s">
        <v>629</v>
      </c>
      <c r="C490" s="33" t="s">
        <v>238</v>
      </c>
      <c r="D490" s="33" t="s">
        <v>241</v>
      </c>
      <c r="E490" s="33" t="s">
        <v>248</v>
      </c>
      <c r="F490" s="46">
        <f>SUM(G490:H490)</f>
        <v>0</v>
      </c>
      <c r="G490" s="51"/>
      <c r="H490" s="51"/>
      <c r="I490" s="48">
        <f>SUM(J490:K490)</f>
        <v>0</v>
      </c>
      <c r="J490" s="52"/>
      <c r="K490" s="269"/>
      <c r="L490" s="39">
        <f>SUM(M490:N490)</f>
        <v>0</v>
      </c>
      <c r="M490" s="53"/>
      <c r="N490" s="53"/>
      <c r="O490" s="23"/>
      <c r="P490" s="23"/>
    </row>
    <row r="491" spans="1:16" s="9" customFormat="1" ht="33" customHeight="1">
      <c r="A491" s="54" t="s">
        <v>630</v>
      </c>
      <c r="B491" s="187" t="s">
        <v>629</v>
      </c>
      <c r="C491" s="33" t="s">
        <v>274</v>
      </c>
      <c r="D491" s="33" t="s">
        <v>240</v>
      </c>
      <c r="E491" s="33" t="s">
        <v>294</v>
      </c>
      <c r="F491" s="46">
        <f t="shared" si="45"/>
        <v>0</v>
      </c>
      <c r="G491" s="51"/>
      <c r="H491" s="51"/>
      <c r="I491" s="48">
        <f t="shared" si="46"/>
        <v>0</v>
      </c>
      <c r="J491" s="52"/>
      <c r="K491" s="269"/>
      <c r="L491" s="39">
        <f t="shared" si="47"/>
        <v>0</v>
      </c>
      <c r="M491" s="53"/>
      <c r="N491" s="53"/>
      <c r="O491" s="23"/>
      <c r="P491" s="23"/>
    </row>
    <row r="492" spans="1:16" s="9" customFormat="1" ht="27">
      <c r="A492" s="54" t="s">
        <v>631</v>
      </c>
      <c r="B492" s="186" t="s">
        <v>632</v>
      </c>
      <c r="C492" s="33"/>
      <c r="D492" s="87"/>
      <c r="E492" s="85"/>
      <c r="F492" s="46">
        <f t="shared" si="45"/>
        <v>30</v>
      </c>
      <c r="G492" s="69">
        <f>SUM(G493)</f>
        <v>30</v>
      </c>
      <c r="H492" s="69">
        <f>SUM(H493)</f>
        <v>0</v>
      </c>
      <c r="I492" s="88">
        <f t="shared" si="46"/>
        <v>30</v>
      </c>
      <c r="J492" s="109">
        <f>SUM(J493)</f>
        <v>30</v>
      </c>
      <c r="K492" s="109">
        <f>SUM(K493)</f>
        <v>0</v>
      </c>
      <c r="L492" s="89">
        <f t="shared" si="47"/>
        <v>30</v>
      </c>
      <c r="M492" s="110">
        <f>SUM(M493)</f>
        <v>30</v>
      </c>
      <c r="N492" s="110">
        <f>SUM(N493)</f>
        <v>0</v>
      </c>
      <c r="O492" s="23"/>
      <c r="P492" s="23"/>
    </row>
    <row r="493" spans="1:16" s="9" customFormat="1" ht="27">
      <c r="A493" s="54" t="s">
        <v>634</v>
      </c>
      <c r="B493" s="187" t="s">
        <v>633</v>
      </c>
      <c r="C493" s="33" t="s">
        <v>238</v>
      </c>
      <c r="D493" s="33" t="s">
        <v>218</v>
      </c>
      <c r="E493" s="33" t="s">
        <v>624</v>
      </c>
      <c r="F493" s="46">
        <f t="shared" si="45"/>
        <v>30</v>
      </c>
      <c r="G493" s="51">
        <f>30</f>
        <v>30</v>
      </c>
      <c r="H493" s="51"/>
      <c r="I493" s="48">
        <f t="shared" si="46"/>
        <v>30</v>
      </c>
      <c r="J493" s="52">
        <f>30</f>
        <v>30</v>
      </c>
      <c r="K493" s="269"/>
      <c r="L493" s="39">
        <f t="shared" si="47"/>
        <v>30</v>
      </c>
      <c r="M493" s="53">
        <f>30</f>
        <v>30</v>
      </c>
      <c r="N493" s="53"/>
      <c r="O493" s="23"/>
      <c r="P493" s="23"/>
    </row>
    <row r="494" spans="1:16" s="9" customFormat="1" ht="41.25">
      <c r="A494" s="54" t="s">
        <v>635</v>
      </c>
      <c r="B494" s="186" t="s">
        <v>636</v>
      </c>
      <c r="C494" s="33"/>
      <c r="D494" s="87"/>
      <c r="E494" s="85"/>
      <c r="F494" s="46">
        <f t="shared" si="45"/>
        <v>70</v>
      </c>
      <c r="G494" s="68">
        <f>SUM(G495)</f>
        <v>70</v>
      </c>
      <c r="H494" s="68">
        <f>SUM(H495)</f>
        <v>0</v>
      </c>
      <c r="I494" s="88">
        <f t="shared" si="46"/>
        <v>70</v>
      </c>
      <c r="J494" s="83">
        <f>SUM(J495)</f>
        <v>70</v>
      </c>
      <c r="K494" s="83">
        <f>SUM(K495)</f>
        <v>0</v>
      </c>
      <c r="L494" s="89">
        <f t="shared" si="47"/>
        <v>80</v>
      </c>
      <c r="M494" s="84">
        <f>SUM(M495)</f>
        <v>80</v>
      </c>
      <c r="N494" s="84">
        <f>SUM(N495)</f>
        <v>0</v>
      </c>
      <c r="O494" s="23"/>
      <c r="P494" s="23"/>
    </row>
    <row r="495" spans="1:16" s="9" customFormat="1" ht="27">
      <c r="A495" s="54" t="s">
        <v>638</v>
      </c>
      <c r="B495" s="187" t="s">
        <v>637</v>
      </c>
      <c r="C495" s="33" t="s">
        <v>238</v>
      </c>
      <c r="D495" s="33" t="s">
        <v>218</v>
      </c>
      <c r="E495" s="33" t="s">
        <v>624</v>
      </c>
      <c r="F495" s="46">
        <f t="shared" si="45"/>
        <v>70</v>
      </c>
      <c r="G495" s="51">
        <f>70</f>
        <v>70</v>
      </c>
      <c r="H495" s="51"/>
      <c r="I495" s="48">
        <f t="shared" si="46"/>
        <v>70</v>
      </c>
      <c r="J495" s="52">
        <f>70</f>
        <v>70</v>
      </c>
      <c r="K495" s="269"/>
      <c r="L495" s="39">
        <f t="shared" si="47"/>
        <v>80</v>
      </c>
      <c r="M495" s="53">
        <f>80</f>
        <v>80</v>
      </c>
      <c r="N495" s="53"/>
      <c r="O495" s="23"/>
      <c r="P495" s="23"/>
    </row>
    <row r="496" spans="1:16" s="9" customFormat="1" ht="54.75">
      <c r="A496" s="158" t="s">
        <v>639</v>
      </c>
      <c r="B496" s="186" t="s">
        <v>640</v>
      </c>
      <c r="C496" s="33"/>
      <c r="D496" s="87"/>
      <c r="E496" s="87"/>
      <c r="F496" s="46">
        <f t="shared" si="45"/>
        <v>13573</v>
      </c>
      <c r="G496" s="68">
        <f>SUM(G497)</f>
        <v>13573</v>
      </c>
      <c r="H496" s="68">
        <f>SUM(H497)</f>
        <v>0</v>
      </c>
      <c r="I496" s="88">
        <f t="shared" si="46"/>
        <v>14096</v>
      </c>
      <c r="J496" s="83">
        <f>SUM(J497)</f>
        <v>14096</v>
      </c>
      <c r="K496" s="83">
        <f>SUM(K497)</f>
        <v>0</v>
      </c>
      <c r="L496" s="89">
        <f t="shared" si="47"/>
        <v>14540</v>
      </c>
      <c r="M496" s="84">
        <f>SUM(M497)</f>
        <v>14540</v>
      </c>
      <c r="N496" s="84">
        <f>SUM(N497)</f>
        <v>0</v>
      </c>
      <c r="O496" s="23"/>
      <c r="P496" s="23"/>
    </row>
    <row r="497" spans="1:16" s="9" customFormat="1" ht="41.25">
      <c r="A497" s="159" t="s">
        <v>247</v>
      </c>
      <c r="B497" s="187" t="s">
        <v>641</v>
      </c>
      <c r="C497" s="33" t="s">
        <v>274</v>
      </c>
      <c r="D497" s="33" t="s">
        <v>240</v>
      </c>
      <c r="E497" s="33" t="s">
        <v>294</v>
      </c>
      <c r="F497" s="46">
        <f t="shared" si="45"/>
        <v>13573</v>
      </c>
      <c r="G497" s="51">
        <f>13573</f>
        <v>13573</v>
      </c>
      <c r="H497" s="51"/>
      <c r="I497" s="48">
        <f t="shared" si="46"/>
        <v>14096</v>
      </c>
      <c r="J497" s="52">
        <f>14096</f>
        <v>14096</v>
      </c>
      <c r="K497" s="269"/>
      <c r="L497" s="39">
        <f t="shared" si="47"/>
        <v>14540</v>
      </c>
      <c r="M497" s="53">
        <f>14540</f>
        <v>14540</v>
      </c>
      <c r="N497" s="53"/>
      <c r="O497" s="23"/>
      <c r="P497" s="23"/>
    </row>
    <row r="498" spans="1:16" s="11" customFormat="1" ht="61.5" customHeight="1">
      <c r="A498" s="158" t="s">
        <v>642</v>
      </c>
      <c r="B498" s="186" t="s">
        <v>643</v>
      </c>
      <c r="C498" s="33"/>
      <c r="D498" s="87"/>
      <c r="E498" s="85"/>
      <c r="F498" s="46">
        <f t="shared" si="45"/>
        <v>0</v>
      </c>
      <c r="G498" s="69">
        <f>SUM(G499)</f>
        <v>0</v>
      </c>
      <c r="H498" s="69">
        <f>SUM(H499)</f>
        <v>0</v>
      </c>
      <c r="I498" s="88">
        <f t="shared" si="46"/>
        <v>0</v>
      </c>
      <c r="J498" s="109">
        <f>SUM(J499)</f>
        <v>0</v>
      </c>
      <c r="K498" s="109">
        <f>SUM(K499)</f>
        <v>0</v>
      </c>
      <c r="L498" s="89">
        <f t="shared" si="47"/>
        <v>0</v>
      </c>
      <c r="M498" s="110">
        <f>SUM(M499)</f>
        <v>0</v>
      </c>
      <c r="N498" s="110">
        <f>SUM(N499)</f>
        <v>0</v>
      </c>
      <c r="O498" s="25"/>
      <c r="P498" s="15"/>
    </row>
    <row r="499" spans="1:16" s="11" customFormat="1" ht="45.75" customHeight="1">
      <c r="A499" s="159" t="s">
        <v>678</v>
      </c>
      <c r="B499" s="187" t="s">
        <v>644</v>
      </c>
      <c r="C499" s="33" t="s">
        <v>274</v>
      </c>
      <c r="D499" s="33" t="s">
        <v>240</v>
      </c>
      <c r="E499" s="33" t="s">
        <v>294</v>
      </c>
      <c r="F499" s="46">
        <f t="shared" si="45"/>
        <v>0</v>
      </c>
      <c r="G499" s="51"/>
      <c r="H499" s="51"/>
      <c r="I499" s="48">
        <f t="shared" si="46"/>
        <v>0</v>
      </c>
      <c r="J499" s="52"/>
      <c r="K499" s="269"/>
      <c r="L499" s="39">
        <f t="shared" si="47"/>
        <v>0</v>
      </c>
      <c r="M499" s="53"/>
      <c r="N499" s="53"/>
      <c r="O499" s="25"/>
      <c r="P499" s="15"/>
    </row>
    <row r="500" spans="1:16" s="11" customFormat="1" ht="42" customHeight="1">
      <c r="A500" s="158" t="s">
        <v>679</v>
      </c>
      <c r="B500" s="186" t="s">
        <v>680</v>
      </c>
      <c r="C500" s="33"/>
      <c r="D500" s="87"/>
      <c r="E500" s="85"/>
      <c r="F500" s="46">
        <f t="shared" si="45"/>
        <v>200</v>
      </c>
      <c r="G500" s="68">
        <f>SUM(G501)</f>
        <v>200</v>
      </c>
      <c r="H500" s="68">
        <f>SUM(H501)</f>
        <v>0</v>
      </c>
      <c r="I500" s="88">
        <f t="shared" si="46"/>
        <v>200</v>
      </c>
      <c r="J500" s="83">
        <f>SUM(J501)</f>
        <v>200</v>
      </c>
      <c r="K500" s="83">
        <f>SUM(K501)</f>
        <v>0</v>
      </c>
      <c r="L500" s="89">
        <f t="shared" si="47"/>
        <v>200</v>
      </c>
      <c r="M500" s="84">
        <f>SUM(M501)</f>
        <v>200</v>
      </c>
      <c r="N500" s="84">
        <f>SUM(N501)</f>
        <v>0</v>
      </c>
      <c r="O500" s="15"/>
      <c r="P500" s="15"/>
    </row>
    <row r="501" spans="1:16" s="11" customFormat="1" ht="36" customHeight="1">
      <c r="A501" s="159" t="s">
        <v>682</v>
      </c>
      <c r="B501" s="187" t="s">
        <v>681</v>
      </c>
      <c r="C501" s="33" t="s">
        <v>274</v>
      </c>
      <c r="D501" s="33" t="s">
        <v>240</v>
      </c>
      <c r="E501" s="33" t="s">
        <v>294</v>
      </c>
      <c r="F501" s="46">
        <f t="shared" si="45"/>
        <v>200</v>
      </c>
      <c r="G501" s="51">
        <f>200</f>
        <v>200</v>
      </c>
      <c r="H501" s="51"/>
      <c r="I501" s="48">
        <f t="shared" si="46"/>
        <v>200</v>
      </c>
      <c r="J501" s="52">
        <f>200</f>
        <v>200</v>
      </c>
      <c r="K501" s="269"/>
      <c r="L501" s="39">
        <f t="shared" si="47"/>
        <v>200</v>
      </c>
      <c r="M501" s="53">
        <f>200</f>
        <v>200</v>
      </c>
      <c r="N501" s="53"/>
      <c r="O501" s="15"/>
      <c r="P501" s="15"/>
    </row>
    <row r="502" spans="1:14" s="28" customFormat="1" ht="54.75">
      <c r="A502" s="54" t="s">
        <v>683</v>
      </c>
      <c r="B502" s="186" t="s">
        <v>684</v>
      </c>
      <c r="C502" s="33"/>
      <c r="D502" s="30"/>
      <c r="E502" s="30"/>
      <c r="F502" s="46">
        <f t="shared" si="45"/>
        <v>10</v>
      </c>
      <c r="G502" s="68">
        <f>SUM(G503)</f>
        <v>10</v>
      </c>
      <c r="H502" s="68">
        <f>SUM(H503)</f>
        <v>0</v>
      </c>
      <c r="I502" s="88">
        <f t="shared" si="46"/>
        <v>10</v>
      </c>
      <c r="J502" s="83">
        <f>SUM(J503)</f>
        <v>10</v>
      </c>
      <c r="K502" s="83">
        <f>SUM(K503)</f>
        <v>0</v>
      </c>
      <c r="L502" s="89">
        <f t="shared" si="47"/>
        <v>15</v>
      </c>
      <c r="M502" s="84">
        <f>SUM(M503)</f>
        <v>15</v>
      </c>
      <c r="N502" s="84">
        <f>SUM(N503)</f>
        <v>0</v>
      </c>
    </row>
    <row r="503" spans="1:16" s="11" customFormat="1" ht="41.25">
      <c r="A503" s="54" t="s">
        <v>686</v>
      </c>
      <c r="B503" s="186" t="s">
        <v>685</v>
      </c>
      <c r="C503" s="33" t="s">
        <v>238</v>
      </c>
      <c r="D503" s="33" t="s">
        <v>218</v>
      </c>
      <c r="E503" s="33" t="s">
        <v>624</v>
      </c>
      <c r="F503" s="55">
        <f>SUM(G503:H503)</f>
        <v>10</v>
      </c>
      <c r="G503" s="56">
        <f>10</f>
        <v>10</v>
      </c>
      <c r="H503" s="56"/>
      <c r="I503" s="101">
        <f>SUM(J503:K503)</f>
        <v>10</v>
      </c>
      <c r="J503" s="98">
        <f>10</f>
        <v>10</v>
      </c>
      <c r="K503" s="98"/>
      <c r="L503" s="102">
        <f>SUM(M503:N503)</f>
        <v>15</v>
      </c>
      <c r="M503" s="99">
        <f>15</f>
        <v>15</v>
      </c>
      <c r="N503" s="99"/>
      <c r="O503" s="15"/>
      <c r="P503" s="15"/>
    </row>
    <row r="504" spans="1:16" s="11" customFormat="1" ht="41.25">
      <c r="A504" s="54" t="s">
        <v>687</v>
      </c>
      <c r="B504" s="186" t="s">
        <v>688</v>
      </c>
      <c r="C504" s="33"/>
      <c r="D504" s="30"/>
      <c r="E504" s="85"/>
      <c r="F504" s="46">
        <f t="shared" si="45"/>
        <v>0</v>
      </c>
      <c r="G504" s="68">
        <f>SUM(G505)</f>
        <v>0</v>
      </c>
      <c r="H504" s="68">
        <f>SUM(H505)</f>
        <v>0</v>
      </c>
      <c r="I504" s="88">
        <f>SUM(J504:K504)</f>
        <v>0</v>
      </c>
      <c r="J504" s="83">
        <f>SUM(J505)</f>
        <v>0</v>
      </c>
      <c r="K504" s="83">
        <f>SUM(K505)</f>
        <v>0</v>
      </c>
      <c r="L504" s="89">
        <f>SUM(M504:N504)</f>
        <v>0</v>
      </c>
      <c r="M504" s="84">
        <f>SUM(M505)</f>
        <v>0</v>
      </c>
      <c r="N504" s="84">
        <f>SUM(N505)</f>
        <v>0</v>
      </c>
      <c r="O504" s="15"/>
      <c r="P504" s="15"/>
    </row>
    <row r="505" spans="1:16" s="11" customFormat="1" ht="27">
      <c r="A505" s="54" t="s">
        <v>690</v>
      </c>
      <c r="B505" s="186" t="s">
        <v>689</v>
      </c>
      <c r="C505" s="33" t="s">
        <v>238</v>
      </c>
      <c r="D505" s="33" t="s">
        <v>218</v>
      </c>
      <c r="E505" s="33" t="s">
        <v>624</v>
      </c>
      <c r="F505" s="55">
        <f>SUM(G505:H505)</f>
        <v>0</v>
      </c>
      <c r="G505" s="56"/>
      <c r="H505" s="56"/>
      <c r="I505" s="101">
        <f>SUM(J505:K505)</f>
        <v>0</v>
      </c>
      <c r="J505" s="98"/>
      <c r="K505" s="98"/>
      <c r="L505" s="102">
        <f>SUM(M505:N505)</f>
        <v>0</v>
      </c>
      <c r="M505" s="99"/>
      <c r="N505" s="99"/>
      <c r="O505" s="15"/>
      <c r="P505" s="15"/>
    </row>
    <row r="506" spans="1:14" s="28" customFormat="1" ht="54.75">
      <c r="A506" s="157" t="s">
        <v>691</v>
      </c>
      <c r="B506" s="194" t="s">
        <v>692</v>
      </c>
      <c r="C506" s="42"/>
      <c r="D506" s="34"/>
      <c r="E506" s="90"/>
      <c r="F506" s="73">
        <f t="shared" si="45"/>
        <v>0</v>
      </c>
      <c r="G506" s="73">
        <f>SUM(G507)</f>
        <v>0</v>
      </c>
      <c r="H506" s="73">
        <f>SUM(H507)</f>
        <v>0</v>
      </c>
      <c r="I506" s="91">
        <f>SUM(J506:K506)</f>
        <v>0</v>
      </c>
      <c r="J506" s="91">
        <f>SUM(J507)</f>
        <v>0</v>
      </c>
      <c r="K506" s="91">
        <f>SUM(K507)</f>
        <v>0</v>
      </c>
      <c r="L506" s="92">
        <f>SUM(M506:N506)</f>
        <v>0</v>
      </c>
      <c r="M506" s="92">
        <f>SUM(M507)</f>
        <v>0</v>
      </c>
      <c r="N506" s="92">
        <f>SUM(N507)</f>
        <v>0</v>
      </c>
    </row>
    <row r="507" spans="1:14" s="28" customFormat="1" ht="41.25">
      <c r="A507" s="158" t="s">
        <v>324</v>
      </c>
      <c r="B507" s="186" t="s">
        <v>693</v>
      </c>
      <c r="C507" s="33"/>
      <c r="D507" s="33"/>
      <c r="E507" s="33"/>
      <c r="F507" s="46">
        <f t="shared" si="45"/>
        <v>0</v>
      </c>
      <c r="G507" s="64">
        <f>SUM(G508)</f>
        <v>0</v>
      </c>
      <c r="H507" s="64">
        <f>SUM(H508)</f>
        <v>0</v>
      </c>
      <c r="I507" s="88">
        <f t="shared" si="46"/>
        <v>0</v>
      </c>
      <c r="J507" s="112">
        <f>SUM(J508)</f>
        <v>0</v>
      </c>
      <c r="K507" s="112">
        <f>SUM(K508)</f>
        <v>0</v>
      </c>
      <c r="L507" s="89">
        <f t="shared" si="47"/>
        <v>0</v>
      </c>
      <c r="M507" s="113">
        <f>SUM(M508)</f>
        <v>0</v>
      </c>
      <c r="N507" s="113">
        <f>SUM(N508)</f>
        <v>0</v>
      </c>
    </row>
    <row r="508" spans="1:16" s="11" customFormat="1" ht="63" customHeight="1">
      <c r="A508" s="159" t="s">
        <v>247</v>
      </c>
      <c r="B508" s="187" t="s">
        <v>694</v>
      </c>
      <c r="C508" s="33" t="s">
        <v>274</v>
      </c>
      <c r="D508" s="33" t="s">
        <v>240</v>
      </c>
      <c r="E508" s="33" t="s">
        <v>294</v>
      </c>
      <c r="F508" s="46">
        <f t="shared" si="45"/>
        <v>0</v>
      </c>
      <c r="G508" s="51"/>
      <c r="H508" s="51"/>
      <c r="I508" s="48">
        <f t="shared" si="46"/>
        <v>0</v>
      </c>
      <c r="J508" s="52"/>
      <c r="K508" s="269"/>
      <c r="L508" s="39">
        <f t="shared" si="47"/>
        <v>0</v>
      </c>
      <c r="M508" s="53"/>
      <c r="N508" s="53"/>
      <c r="O508" s="15"/>
      <c r="P508" s="15"/>
    </row>
    <row r="509" spans="1:16" s="11" customFormat="1" ht="42.75" customHeight="1">
      <c r="A509" s="159"/>
      <c r="B509" s="187"/>
      <c r="C509" s="33"/>
      <c r="D509" s="33"/>
      <c r="E509" s="33"/>
      <c r="F509" s="46"/>
      <c r="G509" s="51"/>
      <c r="H509" s="51"/>
      <c r="I509" s="48"/>
      <c r="J509" s="52"/>
      <c r="K509" s="269"/>
      <c r="L509" s="39"/>
      <c r="M509" s="53"/>
      <c r="N509" s="53"/>
      <c r="O509" s="15"/>
      <c r="P509" s="15"/>
    </row>
    <row r="510" spans="1:16" s="11" customFormat="1" ht="54.75">
      <c r="A510" s="106" t="s">
        <v>695</v>
      </c>
      <c r="B510" s="194" t="s">
        <v>36</v>
      </c>
      <c r="C510" s="42"/>
      <c r="D510" s="34"/>
      <c r="E510" s="42"/>
      <c r="F510" s="73">
        <f t="shared" si="45"/>
        <v>46191</v>
      </c>
      <c r="G510" s="43">
        <f>SUM(G511,G519,G527)</f>
        <v>46191</v>
      </c>
      <c r="H510" s="43">
        <f>SUM(H511,H519,H527)</f>
        <v>0</v>
      </c>
      <c r="I510" s="91">
        <f t="shared" si="46"/>
        <v>43526</v>
      </c>
      <c r="J510" s="80">
        <f>SUM(J511,J519,J527)</f>
        <v>43526</v>
      </c>
      <c r="K510" s="80">
        <f>SUM(K511,K519,K527)</f>
        <v>0</v>
      </c>
      <c r="L510" s="92">
        <f t="shared" si="47"/>
        <v>44629</v>
      </c>
      <c r="M510" s="81">
        <f>SUM(M511,M519,M527)</f>
        <v>44629</v>
      </c>
      <c r="N510" s="81">
        <f>SUM(N511,N519,N527)</f>
        <v>0</v>
      </c>
      <c r="O510" s="15"/>
      <c r="P510" s="15"/>
    </row>
    <row r="511" spans="1:16" s="11" customFormat="1" ht="41.25">
      <c r="A511" s="114" t="s">
        <v>696</v>
      </c>
      <c r="B511" s="208" t="s">
        <v>697</v>
      </c>
      <c r="C511" s="42"/>
      <c r="D511" s="34"/>
      <c r="E511" s="42"/>
      <c r="F511" s="73">
        <f t="shared" si="45"/>
        <v>5983</v>
      </c>
      <c r="G511" s="43">
        <f>SUM(G512,G514,G516)</f>
        <v>5983</v>
      </c>
      <c r="H511" s="43">
        <f>SUM(H512,H514,H516)</f>
        <v>0</v>
      </c>
      <c r="I511" s="91">
        <f t="shared" si="46"/>
        <v>3963</v>
      </c>
      <c r="J511" s="80">
        <f>SUM(J512,J514,J516)</f>
        <v>3963</v>
      </c>
      <c r="K511" s="80">
        <f>SUM(K512,K514,K516)</f>
        <v>0</v>
      </c>
      <c r="L511" s="92">
        <f t="shared" si="47"/>
        <v>3985</v>
      </c>
      <c r="M511" s="81">
        <f>SUM(M512,M514,M516)</f>
        <v>3985</v>
      </c>
      <c r="N511" s="81">
        <f>SUM(N512,N514,N516)</f>
        <v>0</v>
      </c>
      <c r="O511" s="15"/>
      <c r="P511" s="15"/>
    </row>
    <row r="512" spans="1:16" s="11" customFormat="1" ht="41.25">
      <c r="A512" s="94" t="s">
        <v>698</v>
      </c>
      <c r="B512" s="186" t="s">
        <v>699</v>
      </c>
      <c r="C512" s="33"/>
      <c r="D512" s="30"/>
      <c r="E512" s="30"/>
      <c r="F512" s="46">
        <f t="shared" si="45"/>
        <v>150</v>
      </c>
      <c r="G512" s="64">
        <f>SUM(G513)</f>
        <v>150</v>
      </c>
      <c r="H512" s="64">
        <f>SUM(H513)</f>
        <v>0</v>
      </c>
      <c r="I512" s="88">
        <f t="shared" si="46"/>
        <v>600</v>
      </c>
      <c r="J512" s="112">
        <f>SUM(J513)</f>
        <v>600</v>
      </c>
      <c r="K512" s="112">
        <f>SUM(K513)</f>
        <v>0</v>
      </c>
      <c r="L512" s="89">
        <f t="shared" si="47"/>
        <v>600</v>
      </c>
      <c r="M512" s="113">
        <f>SUM(M513)</f>
        <v>600</v>
      </c>
      <c r="N512" s="113">
        <f>SUM(N513)</f>
        <v>0</v>
      </c>
      <c r="O512" s="15"/>
      <c r="P512" s="15"/>
    </row>
    <row r="513" spans="1:16" s="11" customFormat="1" ht="41.25">
      <c r="A513" s="94" t="s">
        <v>701</v>
      </c>
      <c r="B513" s="187" t="s">
        <v>700</v>
      </c>
      <c r="C513" s="33" t="s">
        <v>238</v>
      </c>
      <c r="D513" s="33" t="s">
        <v>251</v>
      </c>
      <c r="E513" s="33" t="s">
        <v>218</v>
      </c>
      <c r="F513" s="46">
        <f t="shared" si="45"/>
        <v>150</v>
      </c>
      <c r="G513" s="51">
        <f>150</f>
        <v>150</v>
      </c>
      <c r="H513" s="46"/>
      <c r="I513" s="48">
        <f t="shared" si="46"/>
        <v>600</v>
      </c>
      <c r="J513" s="52">
        <f>600</f>
        <v>600</v>
      </c>
      <c r="K513" s="273"/>
      <c r="L513" s="39">
        <f t="shared" si="47"/>
        <v>600</v>
      </c>
      <c r="M513" s="53">
        <f>600</f>
        <v>600</v>
      </c>
      <c r="N513" s="39"/>
      <c r="O513" s="15"/>
      <c r="P513" s="15"/>
    </row>
    <row r="514" spans="1:16" s="11" customFormat="1" ht="27">
      <c r="A514" s="94" t="s">
        <v>507</v>
      </c>
      <c r="B514" s="186" t="s">
        <v>702</v>
      </c>
      <c r="C514" s="33"/>
      <c r="D514" s="30"/>
      <c r="E514" s="31"/>
      <c r="F514" s="46">
        <f t="shared" si="45"/>
        <v>3000</v>
      </c>
      <c r="G514" s="64">
        <f>SUM(G515)</f>
        <v>3000</v>
      </c>
      <c r="H514" s="64">
        <f>SUM(H515)</f>
        <v>0</v>
      </c>
      <c r="I514" s="88">
        <f t="shared" si="46"/>
        <v>530</v>
      </c>
      <c r="J514" s="112">
        <f>SUM(J515)</f>
        <v>530</v>
      </c>
      <c r="K514" s="112">
        <f>SUM(K515)</f>
        <v>0</v>
      </c>
      <c r="L514" s="89">
        <f t="shared" si="47"/>
        <v>552</v>
      </c>
      <c r="M514" s="113">
        <f>SUM(M515)</f>
        <v>552</v>
      </c>
      <c r="N514" s="113">
        <f>SUM(N515)</f>
        <v>0</v>
      </c>
      <c r="O514" s="15"/>
      <c r="P514" s="15"/>
    </row>
    <row r="515" spans="1:14" s="28" customFormat="1" ht="27">
      <c r="A515" s="94" t="s">
        <v>704</v>
      </c>
      <c r="B515" s="187" t="s">
        <v>703</v>
      </c>
      <c r="C515" s="33" t="s">
        <v>238</v>
      </c>
      <c r="D515" s="33" t="s">
        <v>325</v>
      </c>
      <c r="E515" s="33" t="s">
        <v>219</v>
      </c>
      <c r="F515" s="46">
        <f t="shared" si="45"/>
        <v>3000</v>
      </c>
      <c r="G515" s="51">
        <f>3000</f>
        <v>3000</v>
      </c>
      <c r="H515" s="46"/>
      <c r="I515" s="48">
        <f t="shared" si="46"/>
        <v>530</v>
      </c>
      <c r="J515" s="52">
        <f>530</f>
        <v>530</v>
      </c>
      <c r="K515" s="273"/>
      <c r="L515" s="39">
        <f t="shared" si="47"/>
        <v>552</v>
      </c>
      <c r="M515" s="53">
        <f>552</f>
        <v>552</v>
      </c>
      <c r="N515" s="39"/>
    </row>
    <row r="516" spans="1:16" s="11" customFormat="1" ht="41.25">
      <c r="A516" s="63" t="s">
        <v>705</v>
      </c>
      <c r="B516" s="209" t="s">
        <v>706</v>
      </c>
      <c r="C516" s="33"/>
      <c r="D516" s="30"/>
      <c r="E516" s="31"/>
      <c r="F516" s="46">
        <f t="shared" si="45"/>
        <v>2833</v>
      </c>
      <c r="G516" s="36">
        <f>SUM(G517,G518)</f>
        <v>2833</v>
      </c>
      <c r="H516" s="36">
        <f>SUM(H517,H518)</f>
        <v>0</v>
      </c>
      <c r="I516" s="88">
        <f t="shared" si="46"/>
        <v>2833</v>
      </c>
      <c r="J516" s="77">
        <f>SUM(J517,J518)</f>
        <v>2833</v>
      </c>
      <c r="K516" s="77">
        <f>SUM(K517,K518)</f>
        <v>0</v>
      </c>
      <c r="L516" s="89">
        <f t="shared" si="47"/>
        <v>2833</v>
      </c>
      <c r="M516" s="78">
        <f>SUM(M517,M518)</f>
        <v>2833</v>
      </c>
      <c r="N516" s="78">
        <f>SUM(N517,N518)</f>
        <v>0</v>
      </c>
      <c r="O516" s="15"/>
      <c r="P516" s="15"/>
    </row>
    <row r="517" spans="1:16" s="11" customFormat="1" ht="27">
      <c r="A517" s="151" t="s">
        <v>708</v>
      </c>
      <c r="B517" s="210" t="s">
        <v>707</v>
      </c>
      <c r="C517" s="33" t="s">
        <v>238</v>
      </c>
      <c r="D517" s="33" t="s">
        <v>399</v>
      </c>
      <c r="E517" s="33" t="s">
        <v>219</v>
      </c>
      <c r="F517" s="46">
        <f t="shared" si="45"/>
        <v>2615</v>
      </c>
      <c r="G517" s="51">
        <f>2615</f>
        <v>2615</v>
      </c>
      <c r="H517" s="51"/>
      <c r="I517" s="48">
        <f t="shared" si="46"/>
        <v>2615</v>
      </c>
      <c r="J517" s="52">
        <f>2615</f>
        <v>2615</v>
      </c>
      <c r="K517" s="269"/>
      <c r="L517" s="39">
        <f t="shared" si="47"/>
        <v>2615</v>
      </c>
      <c r="M517" s="53">
        <f>2615</f>
        <v>2615</v>
      </c>
      <c r="N517" s="53"/>
      <c r="O517" s="15"/>
      <c r="P517" s="15"/>
    </row>
    <row r="518" spans="1:16" s="11" customFormat="1" ht="27">
      <c r="A518" s="151" t="s">
        <v>708</v>
      </c>
      <c r="B518" s="210" t="s">
        <v>707</v>
      </c>
      <c r="C518" s="33" t="s">
        <v>274</v>
      </c>
      <c r="D518" s="33" t="s">
        <v>399</v>
      </c>
      <c r="E518" s="33" t="s">
        <v>219</v>
      </c>
      <c r="F518" s="46">
        <f t="shared" si="45"/>
        <v>218</v>
      </c>
      <c r="G518" s="51">
        <f>218</f>
        <v>218</v>
      </c>
      <c r="H518" s="51"/>
      <c r="I518" s="48">
        <f t="shared" si="46"/>
        <v>218</v>
      </c>
      <c r="J518" s="52">
        <f>218</f>
        <v>218</v>
      </c>
      <c r="K518" s="269"/>
      <c r="L518" s="39">
        <f t="shared" si="47"/>
        <v>218</v>
      </c>
      <c r="M518" s="53">
        <f>218</f>
        <v>218</v>
      </c>
      <c r="N518" s="53"/>
      <c r="O518" s="15"/>
      <c r="P518" s="15"/>
    </row>
    <row r="519" spans="1:16" s="11" customFormat="1" ht="13.5">
      <c r="A519" s="106" t="s">
        <v>709</v>
      </c>
      <c r="B519" s="194" t="s">
        <v>710</v>
      </c>
      <c r="C519" s="42"/>
      <c r="D519" s="34"/>
      <c r="E519" s="42"/>
      <c r="F519" s="73">
        <f t="shared" si="45"/>
        <v>7315</v>
      </c>
      <c r="G519" s="74">
        <f>SUM(G520,G523)</f>
        <v>7315</v>
      </c>
      <c r="H519" s="74">
        <f>SUM(H520,H523)</f>
        <v>0</v>
      </c>
      <c r="I519" s="91">
        <f t="shared" si="46"/>
        <v>7523</v>
      </c>
      <c r="J519" s="75">
        <f>SUM(J520,J523)</f>
        <v>7523</v>
      </c>
      <c r="K519" s="75">
        <f>SUM(K520,K523)</f>
        <v>0</v>
      </c>
      <c r="L519" s="92">
        <f t="shared" si="47"/>
        <v>7694</v>
      </c>
      <c r="M519" s="76">
        <f>SUM(M520,M523)</f>
        <v>7694</v>
      </c>
      <c r="N519" s="76">
        <f>SUM(N520,N523)</f>
        <v>0</v>
      </c>
      <c r="O519" s="15"/>
      <c r="P519" s="15"/>
    </row>
    <row r="520" spans="1:16" s="11" customFormat="1" ht="27">
      <c r="A520" s="107" t="s">
        <v>507</v>
      </c>
      <c r="B520" s="186" t="s">
        <v>711</v>
      </c>
      <c r="C520" s="33"/>
      <c r="D520" s="30"/>
      <c r="E520" s="31"/>
      <c r="F520" s="46">
        <f t="shared" si="45"/>
        <v>2462</v>
      </c>
      <c r="G520" s="64">
        <f>SUM(G521,G522)</f>
        <v>2462</v>
      </c>
      <c r="H520" s="64">
        <f>SUM(H521,H522)</f>
        <v>0</v>
      </c>
      <c r="I520" s="88">
        <f t="shared" si="46"/>
        <v>2463</v>
      </c>
      <c r="J520" s="112">
        <f>SUM(J521,J522)</f>
        <v>2463</v>
      </c>
      <c r="K520" s="112">
        <f>SUM(K521,K522)</f>
        <v>0</v>
      </c>
      <c r="L520" s="89">
        <f t="shared" si="47"/>
        <v>2463</v>
      </c>
      <c r="M520" s="113">
        <f>SUM(M521,M522)</f>
        <v>2463</v>
      </c>
      <c r="N520" s="113">
        <f>SUM(N521,N522)</f>
        <v>0</v>
      </c>
      <c r="O520" s="15"/>
      <c r="P520" s="15"/>
    </row>
    <row r="521" spans="1:16" s="11" customFormat="1" ht="27">
      <c r="A521" s="94" t="s">
        <v>713</v>
      </c>
      <c r="B521" s="210" t="s">
        <v>712</v>
      </c>
      <c r="C521" s="33" t="s">
        <v>238</v>
      </c>
      <c r="D521" s="33" t="s">
        <v>241</v>
      </c>
      <c r="E521" s="33" t="s">
        <v>241</v>
      </c>
      <c r="F521" s="46">
        <f t="shared" si="45"/>
        <v>1832</v>
      </c>
      <c r="G521" s="46">
        <f>1832</f>
        <v>1832</v>
      </c>
      <c r="H521" s="46"/>
      <c r="I521" s="48">
        <f t="shared" si="46"/>
        <v>1833</v>
      </c>
      <c r="J521" s="48">
        <f>1833</f>
        <v>1833</v>
      </c>
      <c r="K521" s="273"/>
      <c r="L521" s="39">
        <f t="shared" si="47"/>
        <v>1833</v>
      </c>
      <c r="M521" s="39">
        <f>1833</f>
        <v>1833</v>
      </c>
      <c r="N521" s="39"/>
      <c r="O521" s="15"/>
      <c r="P521" s="15"/>
    </row>
    <row r="522" spans="1:16" s="11" customFormat="1" ht="27">
      <c r="A522" s="94" t="s">
        <v>713</v>
      </c>
      <c r="B522" s="210" t="s">
        <v>712</v>
      </c>
      <c r="C522" s="33" t="s">
        <v>355</v>
      </c>
      <c r="D522" s="33" t="s">
        <v>241</v>
      </c>
      <c r="E522" s="33" t="s">
        <v>241</v>
      </c>
      <c r="F522" s="46">
        <f t="shared" si="45"/>
        <v>630</v>
      </c>
      <c r="G522" s="46">
        <f>630</f>
        <v>630</v>
      </c>
      <c r="H522" s="46"/>
      <c r="I522" s="48">
        <f t="shared" si="46"/>
        <v>630</v>
      </c>
      <c r="J522" s="48">
        <f>630</f>
        <v>630</v>
      </c>
      <c r="K522" s="273"/>
      <c r="L522" s="39">
        <f t="shared" si="47"/>
        <v>630</v>
      </c>
      <c r="M522" s="39">
        <f>630</f>
        <v>630</v>
      </c>
      <c r="N522" s="39"/>
      <c r="O522" s="15"/>
      <c r="P522" s="15"/>
    </row>
    <row r="523" spans="1:14" s="28" customFormat="1" ht="41.25">
      <c r="A523" s="107" t="s">
        <v>527</v>
      </c>
      <c r="B523" s="186" t="s">
        <v>714</v>
      </c>
      <c r="C523" s="33"/>
      <c r="D523" s="30"/>
      <c r="E523" s="31"/>
      <c r="F523" s="46">
        <f t="shared" si="45"/>
        <v>4853</v>
      </c>
      <c r="G523" s="64">
        <f>SUM(G524,G525,G526)</f>
        <v>4853</v>
      </c>
      <c r="H523" s="64">
        <f>SUM(H524,H525,H526)</f>
        <v>0</v>
      </c>
      <c r="I523" s="88">
        <f t="shared" si="46"/>
        <v>5060</v>
      </c>
      <c r="J523" s="112">
        <f>SUM(J524,J525,J526)</f>
        <v>5060</v>
      </c>
      <c r="K523" s="112">
        <f>SUM(K524,K525,K526)</f>
        <v>0</v>
      </c>
      <c r="L523" s="89">
        <f t="shared" si="47"/>
        <v>5231</v>
      </c>
      <c r="M523" s="113">
        <f>SUM(M524,M525,M526)</f>
        <v>5231</v>
      </c>
      <c r="N523" s="113">
        <f>SUM(N524,N525,N526)</f>
        <v>0</v>
      </c>
    </row>
    <row r="524" spans="1:16" s="11" customFormat="1" ht="27">
      <c r="A524" s="146" t="s">
        <v>716</v>
      </c>
      <c r="B524" s="187" t="s">
        <v>715</v>
      </c>
      <c r="C524" s="33" t="s">
        <v>237</v>
      </c>
      <c r="D524" s="33" t="s">
        <v>241</v>
      </c>
      <c r="E524" s="33" t="s">
        <v>248</v>
      </c>
      <c r="F524" s="46">
        <f t="shared" si="45"/>
        <v>4283</v>
      </c>
      <c r="G524" s="46">
        <f>4283</f>
        <v>4283</v>
      </c>
      <c r="H524" s="46"/>
      <c r="I524" s="48">
        <f t="shared" si="46"/>
        <v>4496</v>
      </c>
      <c r="J524" s="48">
        <f>4496</f>
        <v>4496</v>
      </c>
      <c r="K524" s="273"/>
      <c r="L524" s="39">
        <f t="shared" si="47"/>
        <v>4660</v>
      </c>
      <c r="M524" s="39">
        <f>4660</f>
        <v>4660</v>
      </c>
      <c r="N524" s="39"/>
      <c r="O524" s="15"/>
      <c r="P524" s="15"/>
    </row>
    <row r="525" spans="1:16" s="11" customFormat="1" ht="27">
      <c r="A525" s="146" t="s">
        <v>716</v>
      </c>
      <c r="B525" s="187" t="s">
        <v>715</v>
      </c>
      <c r="C525" s="33" t="s">
        <v>238</v>
      </c>
      <c r="D525" s="33" t="s">
        <v>241</v>
      </c>
      <c r="E525" s="33" t="s">
        <v>248</v>
      </c>
      <c r="F525" s="46">
        <f t="shared" si="45"/>
        <v>487</v>
      </c>
      <c r="G525" s="46">
        <f>487</f>
        <v>487</v>
      </c>
      <c r="H525" s="46"/>
      <c r="I525" s="48">
        <f t="shared" si="46"/>
        <v>481</v>
      </c>
      <c r="J525" s="48">
        <f>481</f>
        <v>481</v>
      </c>
      <c r="K525" s="273"/>
      <c r="L525" s="39">
        <f t="shared" si="47"/>
        <v>488</v>
      </c>
      <c r="M525" s="39">
        <f>488</f>
        <v>488</v>
      </c>
      <c r="N525" s="39"/>
      <c r="O525" s="15"/>
      <c r="P525" s="15"/>
    </row>
    <row r="526" spans="1:16" s="11" customFormat="1" ht="27">
      <c r="A526" s="146" t="s">
        <v>716</v>
      </c>
      <c r="B526" s="187" t="s">
        <v>715</v>
      </c>
      <c r="C526" s="33" t="s">
        <v>239</v>
      </c>
      <c r="D526" s="33" t="s">
        <v>241</v>
      </c>
      <c r="E526" s="33" t="s">
        <v>248</v>
      </c>
      <c r="F526" s="46">
        <f t="shared" si="45"/>
        <v>83</v>
      </c>
      <c r="G526" s="46">
        <f>83</f>
        <v>83</v>
      </c>
      <c r="H526" s="46"/>
      <c r="I526" s="48">
        <f t="shared" si="46"/>
        <v>83</v>
      </c>
      <c r="J526" s="48">
        <f>83</f>
        <v>83</v>
      </c>
      <c r="K526" s="273"/>
      <c r="L526" s="39">
        <f t="shared" si="47"/>
        <v>83</v>
      </c>
      <c r="M526" s="39">
        <f>83</f>
        <v>83</v>
      </c>
      <c r="N526" s="39"/>
      <c r="O526" s="15"/>
      <c r="P526" s="15"/>
    </row>
    <row r="527" spans="1:16" s="11" customFormat="1" ht="13.5">
      <c r="A527" s="160" t="s">
        <v>717</v>
      </c>
      <c r="B527" s="194" t="s">
        <v>718</v>
      </c>
      <c r="C527" s="42"/>
      <c r="D527" s="34"/>
      <c r="E527" s="42"/>
      <c r="F527" s="73">
        <f t="shared" si="45"/>
        <v>32893</v>
      </c>
      <c r="G527" s="95">
        <f>SUM(G528,G530)</f>
        <v>32893</v>
      </c>
      <c r="H527" s="95">
        <f>SUM(H528,H530)</f>
        <v>0</v>
      </c>
      <c r="I527" s="91">
        <f t="shared" si="46"/>
        <v>32040</v>
      </c>
      <c r="J527" s="96">
        <f>SUM(J528,J530)</f>
        <v>32040</v>
      </c>
      <c r="K527" s="96">
        <f>SUM(K528,K530)</f>
        <v>0</v>
      </c>
      <c r="L527" s="92">
        <f t="shared" si="47"/>
        <v>32950</v>
      </c>
      <c r="M527" s="97">
        <f>SUM(M528,M530)</f>
        <v>32950</v>
      </c>
      <c r="N527" s="97">
        <f>SUM(N528,N530)</f>
        <v>0</v>
      </c>
      <c r="O527" s="15"/>
      <c r="P527" s="15"/>
    </row>
    <row r="528" spans="1:16" s="11" customFormat="1" ht="41.25">
      <c r="A528" s="93" t="s">
        <v>324</v>
      </c>
      <c r="B528" s="186" t="s">
        <v>719</v>
      </c>
      <c r="C528" s="33"/>
      <c r="D528" s="33"/>
      <c r="E528" s="33"/>
      <c r="F528" s="46">
        <f t="shared" si="45"/>
        <v>31233</v>
      </c>
      <c r="G528" s="64">
        <f>SUM(G529)</f>
        <v>31233</v>
      </c>
      <c r="H528" s="64">
        <f>SUM(H529)</f>
        <v>0</v>
      </c>
      <c r="I528" s="88">
        <f t="shared" si="46"/>
        <v>30740</v>
      </c>
      <c r="J528" s="112">
        <f>SUM(J529)</f>
        <v>30740</v>
      </c>
      <c r="K528" s="112">
        <f>SUM(K529)</f>
        <v>0</v>
      </c>
      <c r="L528" s="89">
        <f t="shared" si="47"/>
        <v>31600</v>
      </c>
      <c r="M528" s="113">
        <f>SUM(M529)</f>
        <v>31600</v>
      </c>
      <c r="N528" s="113">
        <f>SUM(N529)</f>
        <v>0</v>
      </c>
      <c r="O528" s="15"/>
      <c r="P528" s="15"/>
    </row>
    <row r="529" spans="1:16" s="11" customFormat="1" ht="41.25">
      <c r="A529" s="93" t="s">
        <v>247</v>
      </c>
      <c r="B529" s="187" t="s">
        <v>720</v>
      </c>
      <c r="C529" s="33" t="s">
        <v>274</v>
      </c>
      <c r="D529" s="33" t="s">
        <v>294</v>
      </c>
      <c r="E529" s="33" t="s">
        <v>218</v>
      </c>
      <c r="F529" s="46">
        <f>SUM(G529:H529)</f>
        <v>31233</v>
      </c>
      <c r="G529" s="46">
        <f>31233</f>
        <v>31233</v>
      </c>
      <c r="H529" s="161"/>
      <c r="I529" s="48">
        <f>SUM(J529:K529)</f>
        <v>30740</v>
      </c>
      <c r="J529" s="48">
        <f>30740</f>
        <v>30740</v>
      </c>
      <c r="K529" s="280"/>
      <c r="L529" s="39">
        <f t="shared" si="47"/>
        <v>31600</v>
      </c>
      <c r="M529" s="39">
        <f>31600</f>
        <v>31600</v>
      </c>
      <c r="N529" s="163"/>
      <c r="O529" s="15"/>
      <c r="P529" s="15"/>
    </row>
    <row r="530" spans="1:16" s="11" customFormat="1" ht="27">
      <c r="A530" s="63" t="s">
        <v>507</v>
      </c>
      <c r="B530" s="186" t="s">
        <v>721</v>
      </c>
      <c r="C530" s="33"/>
      <c r="D530" s="30"/>
      <c r="E530" s="31"/>
      <c r="F530" s="46">
        <f t="shared" si="45"/>
        <v>1660</v>
      </c>
      <c r="G530" s="64">
        <f>SUM(G531,G532,G533,G534)</f>
        <v>1660</v>
      </c>
      <c r="H530" s="64">
        <f>SUM(H531,H532,H533,H534)</f>
        <v>0</v>
      </c>
      <c r="I530" s="88">
        <f>SUM(J530:K530)</f>
        <v>1300</v>
      </c>
      <c r="J530" s="112">
        <f>SUM(J531,J532,J533,J534)</f>
        <v>1300</v>
      </c>
      <c r="K530" s="112">
        <f>SUM(K531,K532,K533,K534)</f>
        <v>0</v>
      </c>
      <c r="L530" s="89">
        <f t="shared" si="47"/>
        <v>1350</v>
      </c>
      <c r="M530" s="113">
        <f>SUM(M531,M532,M533,M534)</f>
        <v>1350</v>
      </c>
      <c r="N530" s="113">
        <f>SUM(N531,N532,N533,N534)</f>
        <v>0</v>
      </c>
      <c r="O530" s="15"/>
      <c r="P530" s="15"/>
    </row>
    <row r="531" spans="1:14" s="28" customFormat="1" ht="27">
      <c r="A531" s="54" t="s">
        <v>250</v>
      </c>
      <c r="B531" s="187" t="s">
        <v>722</v>
      </c>
      <c r="C531" s="33" t="s">
        <v>238</v>
      </c>
      <c r="D531" s="33" t="s">
        <v>251</v>
      </c>
      <c r="E531" s="33" t="s">
        <v>218</v>
      </c>
      <c r="F531" s="46">
        <f t="shared" si="45"/>
        <v>1460</v>
      </c>
      <c r="G531" s="51">
        <f>1460</f>
        <v>1460</v>
      </c>
      <c r="H531" s="46"/>
      <c r="I531" s="48">
        <f t="shared" si="46"/>
        <v>1100</v>
      </c>
      <c r="J531" s="52">
        <f>1100</f>
        <v>1100</v>
      </c>
      <c r="K531" s="273"/>
      <c r="L531" s="39">
        <f t="shared" si="47"/>
        <v>1150</v>
      </c>
      <c r="M531" s="53">
        <f>1150</f>
        <v>1150</v>
      </c>
      <c r="N531" s="39"/>
    </row>
    <row r="532" spans="1:14" s="28" customFormat="1" ht="27">
      <c r="A532" s="54" t="s">
        <v>250</v>
      </c>
      <c r="B532" s="187" t="s">
        <v>722</v>
      </c>
      <c r="C532" s="33" t="s">
        <v>238</v>
      </c>
      <c r="D532" s="33" t="s">
        <v>294</v>
      </c>
      <c r="E532" s="33" t="s">
        <v>218</v>
      </c>
      <c r="F532" s="46">
        <f>SUM(G532:H532)</f>
        <v>80</v>
      </c>
      <c r="G532" s="46">
        <f>80</f>
        <v>80</v>
      </c>
      <c r="H532" s="46"/>
      <c r="I532" s="48">
        <f>SUM(J532:K532)</f>
        <v>80</v>
      </c>
      <c r="J532" s="48">
        <f>80</f>
        <v>80</v>
      </c>
      <c r="K532" s="273"/>
      <c r="L532" s="39">
        <f>SUM(M532:N532)</f>
        <v>80</v>
      </c>
      <c r="M532" s="39">
        <f>80</f>
        <v>80</v>
      </c>
      <c r="N532" s="39"/>
    </row>
    <row r="533" spans="1:14" s="15" customFormat="1" ht="27">
      <c r="A533" s="54" t="s">
        <v>250</v>
      </c>
      <c r="B533" s="187" t="s">
        <v>722</v>
      </c>
      <c r="C533" s="33" t="s">
        <v>355</v>
      </c>
      <c r="D533" s="33" t="s">
        <v>251</v>
      </c>
      <c r="E533" s="33" t="s">
        <v>218</v>
      </c>
      <c r="F533" s="46">
        <f>SUM(G533:H533)</f>
        <v>0</v>
      </c>
      <c r="G533" s="46"/>
      <c r="H533" s="161"/>
      <c r="I533" s="48">
        <f>SUM(J533:K533)</f>
        <v>0</v>
      </c>
      <c r="J533" s="48"/>
      <c r="K533" s="280"/>
      <c r="L533" s="39">
        <f>SUM(M533:N533)</f>
        <v>0</v>
      </c>
      <c r="M533" s="39"/>
      <c r="N533" s="163"/>
    </row>
    <row r="534" spans="1:14" s="15" customFormat="1" ht="27">
      <c r="A534" s="54" t="s">
        <v>250</v>
      </c>
      <c r="B534" s="187" t="s">
        <v>722</v>
      </c>
      <c r="C534" s="33" t="s">
        <v>355</v>
      </c>
      <c r="D534" s="33" t="s">
        <v>294</v>
      </c>
      <c r="E534" s="33" t="s">
        <v>218</v>
      </c>
      <c r="F534" s="46">
        <f>SUM(G534:H534)</f>
        <v>120</v>
      </c>
      <c r="G534" s="46">
        <f>120</f>
        <v>120</v>
      </c>
      <c r="H534" s="161"/>
      <c r="I534" s="48">
        <f>SUM(J534:K534)</f>
        <v>120</v>
      </c>
      <c r="J534" s="48">
        <f>120</f>
        <v>120</v>
      </c>
      <c r="K534" s="280"/>
      <c r="L534" s="39">
        <f>SUM(M534:N534)</f>
        <v>120</v>
      </c>
      <c r="M534" s="39">
        <f>120</f>
        <v>120</v>
      </c>
      <c r="N534" s="163"/>
    </row>
    <row r="535" spans="1:16" s="11" customFormat="1" ht="13.5">
      <c r="A535" s="54"/>
      <c r="B535" s="187"/>
      <c r="C535" s="33"/>
      <c r="D535" s="33"/>
      <c r="E535" s="33"/>
      <c r="F535" s="46"/>
      <c r="G535" s="46"/>
      <c r="H535" s="161"/>
      <c r="I535" s="48"/>
      <c r="J535" s="48"/>
      <c r="K535" s="280"/>
      <c r="L535" s="39"/>
      <c r="M535" s="39"/>
      <c r="N535" s="163"/>
      <c r="O535" s="15"/>
      <c r="P535" s="15"/>
    </row>
    <row r="536" spans="1:16" s="11" customFormat="1" ht="41.25">
      <c r="A536" s="147" t="s">
        <v>723</v>
      </c>
      <c r="B536" s="211" t="s">
        <v>724</v>
      </c>
      <c r="C536" s="90"/>
      <c r="D536" s="34"/>
      <c r="E536" s="42"/>
      <c r="F536" s="73">
        <f t="shared" si="45"/>
        <v>102036</v>
      </c>
      <c r="G536" s="95">
        <f>SUM(G537,G542)</f>
        <v>0</v>
      </c>
      <c r="H536" s="95">
        <f>SUM(H537,H542)</f>
        <v>102036</v>
      </c>
      <c r="I536" s="91">
        <f>SUM(J536:K536)</f>
        <v>60538</v>
      </c>
      <c r="J536" s="96">
        <f>SUM(J537,J542)</f>
        <v>7220</v>
      </c>
      <c r="K536" s="96">
        <f>SUM(K537,K542)</f>
        <v>53318</v>
      </c>
      <c r="L536" s="92">
        <f>SUM(M536:N536)</f>
        <v>88464</v>
      </c>
      <c r="M536" s="97">
        <f>SUM(M537,M542)</f>
        <v>35146</v>
      </c>
      <c r="N536" s="97">
        <f>SUM(N537,N542)</f>
        <v>53318</v>
      </c>
      <c r="O536" s="15"/>
      <c r="P536" s="15"/>
    </row>
    <row r="537" spans="1:14" s="28" customFormat="1" ht="82.5">
      <c r="A537" s="261" t="s">
        <v>108</v>
      </c>
      <c r="B537" s="211" t="s">
        <v>725</v>
      </c>
      <c r="C537" s="90"/>
      <c r="D537" s="62"/>
      <c r="E537" s="62"/>
      <c r="F537" s="73">
        <f t="shared" si="45"/>
        <v>102036</v>
      </c>
      <c r="G537" s="74">
        <f>SUM(G538)</f>
        <v>0</v>
      </c>
      <c r="H537" s="74">
        <f>SUM(H538)</f>
        <v>102036</v>
      </c>
      <c r="I537" s="91">
        <f>SUM(J537:K537)</f>
        <v>60538</v>
      </c>
      <c r="J537" s="75">
        <f>SUM(J538)</f>
        <v>7220</v>
      </c>
      <c r="K537" s="75">
        <f>SUM(K538)</f>
        <v>53318</v>
      </c>
      <c r="L537" s="92">
        <f>SUM(M537:N537)</f>
        <v>88464</v>
      </c>
      <c r="M537" s="76">
        <f>SUM(M538)</f>
        <v>35146</v>
      </c>
      <c r="N537" s="76">
        <f>SUM(N538)</f>
        <v>53318</v>
      </c>
    </row>
    <row r="538" spans="1:16" s="9" customFormat="1" ht="76.5" customHeight="1">
      <c r="A538" s="217" t="s">
        <v>109</v>
      </c>
      <c r="B538" s="192" t="s">
        <v>734</v>
      </c>
      <c r="C538" s="85"/>
      <c r="D538" s="164"/>
      <c r="E538" s="85"/>
      <c r="F538" s="68">
        <f t="shared" si="45"/>
        <v>102036</v>
      </c>
      <c r="G538" s="64">
        <f>SUM(G539,G540,G541)</f>
        <v>0</v>
      </c>
      <c r="H538" s="64">
        <f>SUM(H539,H540,H541)</f>
        <v>102036</v>
      </c>
      <c r="I538" s="83">
        <f>SUM(J538:K538)</f>
        <v>60538</v>
      </c>
      <c r="J538" s="112">
        <f>SUM(J539,J540,J541)</f>
        <v>7220</v>
      </c>
      <c r="K538" s="112">
        <f>SUM(K539,K540,K541)</f>
        <v>53318</v>
      </c>
      <c r="L538" s="84">
        <f>SUM(M538:N538)</f>
        <v>88464</v>
      </c>
      <c r="M538" s="113">
        <f>SUM(M539,M540,M541)</f>
        <v>35146</v>
      </c>
      <c r="N538" s="113">
        <f>SUM(N539,N540,N541)</f>
        <v>53318</v>
      </c>
      <c r="O538" s="23"/>
      <c r="P538" s="23"/>
    </row>
    <row r="539" spans="1:14" s="9" customFormat="1" ht="42.75" customHeight="1">
      <c r="A539" s="217" t="s">
        <v>277</v>
      </c>
      <c r="B539" s="166" t="s">
        <v>106</v>
      </c>
      <c r="C539" s="166" t="s">
        <v>279</v>
      </c>
      <c r="D539" s="166" t="s">
        <v>325</v>
      </c>
      <c r="E539" s="166" t="s">
        <v>219</v>
      </c>
      <c r="F539" s="167">
        <f t="shared" si="45"/>
        <v>0</v>
      </c>
      <c r="G539" s="168"/>
      <c r="H539" s="168"/>
      <c r="I539" s="169">
        <f t="shared" si="46"/>
        <v>0</v>
      </c>
      <c r="J539" s="170"/>
      <c r="K539" s="170"/>
      <c r="L539" s="171">
        <f t="shared" si="47"/>
        <v>0</v>
      </c>
      <c r="M539" s="135"/>
      <c r="N539" s="135"/>
    </row>
    <row r="540" spans="1:16" s="9" customFormat="1" ht="54.75">
      <c r="A540" s="262" t="s">
        <v>110</v>
      </c>
      <c r="B540" s="190" t="s">
        <v>726</v>
      </c>
      <c r="C540" s="62" t="s">
        <v>238</v>
      </c>
      <c r="D540" s="62" t="s">
        <v>325</v>
      </c>
      <c r="E540" s="62" t="s">
        <v>219</v>
      </c>
      <c r="F540" s="46">
        <f t="shared" si="45"/>
        <v>102036</v>
      </c>
      <c r="G540" s="51"/>
      <c r="H540" s="51">
        <v>102036</v>
      </c>
      <c r="I540" s="88">
        <f t="shared" si="46"/>
        <v>60538</v>
      </c>
      <c r="J540" s="104">
        <f>7220</f>
        <v>7220</v>
      </c>
      <c r="K540" s="104">
        <v>53318</v>
      </c>
      <c r="L540" s="89">
        <f t="shared" si="47"/>
        <v>88464</v>
      </c>
      <c r="M540" s="105">
        <f>35146</f>
        <v>35146</v>
      </c>
      <c r="N540" s="105">
        <f>53318</f>
        <v>53318</v>
      </c>
      <c r="O540" s="23"/>
      <c r="P540" s="23"/>
    </row>
    <row r="541" spans="1:16" s="11" customFormat="1" ht="41.25">
      <c r="A541" s="145" t="s">
        <v>729</v>
      </c>
      <c r="B541" s="190" t="s">
        <v>728</v>
      </c>
      <c r="C541" s="62" t="s">
        <v>238</v>
      </c>
      <c r="D541" s="62" t="s">
        <v>325</v>
      </c>
      <c r="E541" s="62" t="s">
        <v>219</v>
      </c>
      <c r="F541" s="46">
        <f t="shared" si="45"/>
        <v>0</v>
      </c>
      <c r="G541" s="51"/>
      <c r="H541" s="51">
        <f>17663+66445-84108</f>
        <v>0</v>
      </c>
      <c r="I541" s="88">
        <f t="shared" si="46"/>
        <v>0</v>
      </c>
      <c r="J541" s="104"/>
      <c r="K541" s="104">
        <f>11197+42121-53318</f>
        <v>0</v>
      </c>
      <c r="L541" s="89">
        <f t="shared" si="47"/>
        <v>0</v>
      </c>
      <c r="M541" s="105"/>
      <c r="N541" s="105"/>
      <c r="O541" s="15"/>
      <c r="P541" s="15"/>
    </row>
    <row r="542" spans="1:16" s="11" customFormat="1" ht="69">
      <c r="A542" s="147" t="s">
        <v>730</v>
      </c>
      <c r="B542" s="211" t="s">
        <v>731</v>
      </c>
      <c r="C542" s="90"/>
      <c r="D542" s="34"/>
      <c r="E542" s="42"/>
      <c r="F542" s="73">
        <f t="shared" si="45"/>
        <v>0</v>
      </c>
      <c r="G542" s="74">
        <f>SUM(G543)</f>
        <v>0</v>
      </c>
      <c r="H542" s="74">
        <f>SUM(H543)</f>
        <v>0</v>
      </c>
      <c r="I542" s="91">
        <f t="shared" si="46"/>
        <v>0</v>
      </c>
      <c r="J542" s="75">
        <f>SUM(J543)</f>
        <v>0</v>
      </c>
      <c r="K542" s="75">
        <f>SUM(K543)</f>
        <v>0</v>
      </c>
      <c r="L542" s="92">
        <f t="shared" si="47"/>
        <v>0</v>
      </c>
      <c r="M542" s="76">
        <f>SUM(M543)</f>
        <v>0</v>
      </c>
      <c r="N542" s="76">
        <f>SUM(N543)</f>
        <v>0</v>
      </c>
      <c r="O542" s="15"/>
      <c r="P542" s="15"/>
    </row>
    <row r="543" spans="1:14" s="28" customFormat="1" ht="34.5" customHeight="1">
      <c r="A543" s="153" t="s">
        <v>732</v>
      </c>
      <c r="B543" s="190" t="s">
        <v>733</v>
      </c>
      <c r="C543" s="62"/>
      <c r="D543" s="87"/>
      <c r="E543" s="31"/>
      <c r="F543" s="46">
        <f t="shared" si="45"/>
        <v>0</v>
      </c>
      <c r="G543" s="69">
        <f>SUM(G544,G545,G546)</f>
        <v>0</v>
      </c>
      <c r="H543" s="69">
        <f>SUM(H544,H545,H546)</f>
        <v>0</v>
      </c>
      <c r="I543" s="88">
        <f t="shared" si="46"/>
        <v>0</v>
      </c>
      <c r="J543" s="109">
        <f>SUM(J544,J545,J546)</f>
        <v>0</v>
      </c>
      <c r="K543" s="109">
        <f>SUM(K544,K545,K546)</f>
        <v>0</v>
      </c>
      <c r="L543" s="89">
        <f t="shared" si="47"/>
        <v>0</v>
      </c>
      <c r="M543" s="110">
        <f>SUM(M544,M545,M546)</f>
        <v>0</v>
      </c>
      <c r="N543" s="110">
        <f>SUM(N544,N545,N546)</f>
        <v>0</v>
      </c>
    </row>
    <row r="544" spans="1:14" s="9" customFormat="1" ht="27">
      <c r="A544" s="235" t="s">
        <v>275</v>
      </c>
      <c r="B544" s="175" t="s">
        <v>673</v>
      </c>
      <c r="C544" s="166" t="s">
        <v>238</v>
      </c>
      <c r="D544" s="166" t="s">
        <v>325</v>
      </c>
      <c r="E544" s="166" t="s">
        <v>219</v>
      </c>
      <c r="F544" s="167">
        <f t="shared" si="45"/>
        <v>0</v>
      </c>
      <c r="G544" s="168"/>
      <c r="H544" s="168"/>
      <c r="I544" s="169">
        <f t="shared" si="46"/>
        <v>0</v>
      </c>
      <c r="J544" s="170"/>
      <c r="K544" s="170"/>
      <c r="L544" s="171">
        <f t="shared" si="47"/>
        <v>0</v>
      </c>
      <c r="M544" s="135"/>
      <c r="N544" s="135"/>
    </row>
    <row r="545" spans="1:14" s="28" customFormat="1" ht="18" customHeight="1">
      <c r="A545" s="153" t="s">
        <v>727</v>
      </c>
      <c r="B545" s="190" t="s">
        <v>735</v>
      </c>
      <c r="C545" s="62" t="s">
        <v>238</v>
      </c>
      <c r="D545" s="62" t="s">
        <v>325</v>
      </c>
      <c r="E545" s="62" t="s">
        <v>219</v>
      </c>
      <c r="F545" s="46">
        <f t="shared" si="45"/>
        <v>0</v>
      </c>
      <c r="G545" s="51"/>
      <c r="H545" s="51"/>
      <c r="I545" s="88">
        <f t="shared" si="46"/>
        <v>0</v>
      </c>
      <c r="J545" s="104"/>
      <c r="K545" s="104"/>
      <c r="L545" s="89">
        <f t="shared" si="47"/>
        <v>0</v>
      </c>
      <c r="M545" s="105"/>
      <c r="N545" s="105"/>
    </row>
    <row r="546" spans="1:16" s="11" customFormat="1" ht="41.25">
      <c r="A546" s="86" t="s">
        <v>729</v>
      </c>
      <c r="B546" s="190" t="s">
        <v>736</v>
      </c>
      <c r="C546" s="62" t="s">
        <v>238</v>
      </c>
      <c r="D546" s="62" t="s">
        <v>325</v>
      </c>
      <c r="E546" s="62" t="s">
        <v>219</v>
      </c>
      <c r="F546" s="46">
        <f t="shared" si="45"/>
        <v>0</v>
      </c>
      <c r="G546" s="51"/>
      <c r="H546" s="51">
        <f>3765+14163-17928</f>
        <v>0</v>
      </c>
      <c r="I546" s="88">
        <f t="shared" si="46"/>
        <v>0</v>
      </c>
      <c r="J546" s="104"/>
      <c r="K546" s="104"/>
      <c r="L546" s="89">
        <f t="shared" si="47"/>
        <v>0</v>
      </c>
      <c r="M546" s="105"/>
      <c r="N546" s="105"/>
      <c r="O546" s="15"/>
      <c r="P546" s="15"/>
    </row>
    <row r="547" spans="1:16" s="11" customFormat="1" ht="13.5">
      <c r="A547" s="86"/>
      <c r="B547" s="190"/>
      <c r="C547" s="62"/>
      <c r="D547" s="62"/>
      <c r="E547" s="62"/>
      <c r="F547" s="46"/>
      <c r="G547" s="51"/>
      <c r="H547" s="51"/>
      <c r="I547" s="88"/>
      <c r="J547" s="104"/>
      <c r="K547" s="104"/>
      <c r="L547" s="89"/>
      <c r="M547" s="105"/>
      <c r="N547" s="105"/>
      <c r="O547" s="15"/>
      <c r="P547" s="15"/>
    </row>
    <row r="548" spans="1:16" s="11" customFormat="1" ht="27">
      <c r="A548" s="106" t="s">
        <v>737</v>
      </c>
      <c r="B548" s="194" t="s">
        <v>740</v>
      </c>
      <c r="C548" s="42"/>
      <c r="D548" s="34"/>
      <c r="E548" s="42"/>
      <c r="F548" s="73">
        <f t="shared" si="45"/>
        <v>763510</v>
      </c>
      <c r="G548" s="74">
        <f>SUM(G549)</f>
        <v>744565</v>
      </c>
      <c r="H548" s="74">
        <f>SUM(H549)</f>
        <v>18945</v>
      </c>
      <c r="I548" s="91">
        <f>SUM(J548:K548)</f>
        <v>771398</v>
      </c>
      <c r="J548" s="75">
        <f>SUM(J549)</f>
        <v>753510</v>
      </c>
      <c r="K548" s="75">
        <f>SUM(K549)</f>
        <v>17888</v>
      </c>
      <c r="L548" s="92">
        <f t="shared" si="47"/>
        <v>786428</v>
      </c>
      <c r="M548" s="76">
        <f>SUM(M549)</f>
        <v>768467</v>
      </c>
      <c r="N548" s="76">
        <f>SUM(N549)</f>
        <v>17961</v>
      </c>
      <c r="O548" s="15"/>
      <c r="P548" s="15"/>
    </row>
    <row r="549" spans="1:16" s="11" customFormat="1" ht="13.5">
      <c r="A549" s="41" t="s">
        <v>739</v>
      </c>
      <c r="B549" s="194" t="s">
        <v>741</v>
      </c>
      <c r="C549" s="42"/>
      <c r="D549" s="34"/>
      <c r="E549" s="42"/>
      <c r="F549" s="73">
        <f t="shared" si="45"/>
        <v>763510</v>
      </c>
      <c r="G549" s="95">
        <f>SUM(G550:G614)</f>
        <v>744565</v>
      </c>
      <c r="H549" s="95">
        <f>SUM(H550:H614)</f>
        <v>18945</v>
      </c>
      <c r="I549" s="91">
        <f>SUM(J549:K549)</f>
        <v>771398</v>
      </c>
      <c r="J549" s="96">
        <f>SUM(J550:J614)</f>
        <v>753510</v>
      </c>
      <c r="K549" s="96">
        <f>SUM(K550:K614)</f>
        <v>17888</v>
      </c>
      <c r="L549" s="92">
        <f t="shared" si="47"/>
        <v>786428</v>
      </c>
      <c r="M549" s="97">
        <f>SUM(M550:M614)</f>
        <v>768467</v>
      </c>
      <c r="N549" s="97">
        <f>SUM(N550:N614)</f>
        <v>17961</v>
      </c>
      <c r="O549" s="15"/>
      <c r="P549" s="15"/>
    </row>
    <row r="550" spans="1:16" s="11" customFormat="1" ht="27">
      <c r="A550" s="93" t="s">
        <v>416</v>
      </c>
      <c r="B550" s="187" t="s">
        <v>742</v>
      </c>
      <c r="C550" s="33" t="s">
        <v>237</v>
      </c>
      <c r="D550" s="33" t="s">
        <v>218</v>
      </c>
      <c r="E550" s="33" t="s">
        <v>219</v>
      </c>
      <c r="F550" s="161">
        <f t="shared" si="45"/>
        <v>8769</v>
      </c>
      <c r="G550" s="161">
        <f>8769</f>
        <v>8769</v>
      </c>
      <c r="H550" s="161"/>
      <c r="I550" s="162">
        <f t="shared" si="46"/>
        <v>8847</v>
      </c>
      <c r="J550" s="162">
        <f>8847</f>
        <v>8847</v>
      </c>
      <c r="K550" s="280"/>
      <c r="L550" s="163">
        <f t="shared" si="47"/>
        <v>9159</v>
      </c>
      <c r="M550" s="163">
        <f>9159</f>
        <v>9159</v>
      </c>
      <c r="N550" s="163"/>
      <c r="O550" s="15"/>
      <c r="P550" s="15"/>
    </row>
    <row r="551" spans="1:16" s="11" customFormat="1" ht="27">
      <c r="A551" s="93" t="s">
        <v>416</v>
      </c>
      <c r="B551" s="187" t="s">
        <v>742</v>
      </c>
      <c r="C551" s="33" t="s">
        <v>237</v>
      </c>
      <c r="D551" s="33" t="s">
        <v>218</v>
      </c>
      <c r="E551" s="33" t="s">
        <v>240</v>
      </c>
      <c r="F551" s="55">
        <f>SUM(G551:H551)</f>
        <v>264596</v>
      </c>
      <c r="G551" s="55">
        <f>264596</f>
        <v>264596</v>
      </c>
      <c r="H551" s="55"/>
      <c r="I551" s="57">
        <f t="shared" si="46"/>
        <v>277967</v>
      </c>
      <c r="J551" s="57">
        <f>277967</f>
        <v>277967</v>
      </c>
      <c r="K551" s="274"/>
      <c r="L551" s="59">
        <f t="shared" si="47"/>
        <v>288186</v>
      </c>
      <c r="M551" s="59">
        <f>288186</f>
        <v>288186</v>
      </c>
      <c r="N551" s="59"/>
      <c r="O551" s="15"/>
      <c r="P551" s="15"/>
    </row>
    <row r="552" spans="1:16" s="11" customFormat="1" ht="27">
      <c r="A552" s="93" t="s">
        <v>416</v>
      </c>
      <c r="B552" s="187" t="s">
        <v>742</v>
      </c>
      <c r="C552" s="33" t="s">
        <v>237</v>
      </c>
      <c r="D552" s="33" t="s">
        <v>218</v>
      </c>
      <c r="E552" s="33" t="s">
        <v>71</v>
      </c>
      <c r="F552" s="46">
        <f aca="true" t="shared" si="48" ref="F552:F576">SUM(G552:H552)</f>
        <v>5453</v>
      </c>
      <c r="G552" s="46">
        <f>5453</f>
        <v>5453</v>
      </c>
      <c r="H552" s="46"/>
      <c r="I552" s="48">
        <f t="shared" si="46"/>
        <v>5690</v>
      </c>
      <c r="J552" s="48">
        <f>5690</f>
        <v>5690</v>
      </c>
      <c r="K552" s="273"/>
      <c r="L552" s="39">
        <f t="shared" si="47"/>
        <v>5890</v>
      </c>
      <c r="M552" s="39">
        <f>5890</f>
        <v>5890</v>
      </c>
      <c r="N552" s="39"/>
      <c r="O552" s="15"/>
      <c r="P552" s="15"/>
    </row>
    <row r="553" spans="1:16" s="11" customFormat="1" ht="27">
      <c r="A553" s="93" t="s">
        <v>416</v>
      </c>
      <c r="B553" s="187" t="s">
        <v>742</v>
      </c>
      <c r="C553" s="33" t="s">
        <v>237</v>
      </c>
      <c r="D553" s="33" t="s">
        <v>218</v>
      </c>
      <c r="E553" s="33" t="s">
        <v>241</v>
      </c>
      <c r="F553" s="46">
        <f t="shared" si="48"/>
        <v>2935</v>
      </c>
      <c r="G553" s="46">
        <f>2935</f>
        <v>2935</v>
      </c>
      <c r="H553" s="46"/>
      <c r="I553" s="48">
        <f t="shared" si="46"/>
        <v>3062</v>
      </c>
      <c r="J553" s="48">
        <f>3062</f>
        <v>3062</v>
      </c>
      <c r="K553" s="273"/>
      <c r="L553" s="39">
        <f t="shared" si="47"/>
        <v>3170</v>
      </c>
      <c r="M553" s="39">
        <f>3170</f>
        <v>3170</v>
      </c>
      <c r="N553" s="39"/>
      <c r="O553" s="15"/>
      <c r="P553" s="15"/>
    </row>
    <row r="554" spans="1:16" s="11" customFormat="1" ht="27">
      <c r="A554" s="93" t="s">
        <v>416</v>
      </c>
      <c r="B554" s="187" t="s">
        <v>742</v>
      </c>
      <c r="C554" s="33" t="s">
        <v>237</v>
      </c>
      <c r="D554" s="33" t="s">
        <v>240</v>
      </c>
      <c r="E554" s="33" t="s">
        <v>294</v>
      </c>
      <c r="F554" s="46">
        <f t="shared" si="48"/>
        <v>37365</v>
      </c>
      <c r="G554" s="46">
        <f>37365</f>
        <v>37365</v>
      </c>
      <c r="H554" s="46"/>
      <c r="I554" s="48">
        <f t="shared" si="46"/>
        <v>40022</v>
      </c>
      <c r="J554" s="48">
        <f>40022</f>
        <v>40022</v>
      </c>
      <c r="K554" s="273"/>
      <c r="L554" s="39">
        <f t="shared" si="47"/>
        <v>41434</v>
      </c>
      <c r="M554" s="39">
        <f>41434</f>
        <v>41434</v>
      </c>
      <c r="N554" s="39"/>
      <c r="O554" s="15"/>
      <c r="P554" s="15"/>
    </row>
    <row r="555" spans="1:16" s="11" customFormat="1" ht="27">
      <c r="A555" s="93" t="s">
        <v>416</v>
      </c>
      <c r="B555" s="187" t="s">
        <v>742</v>
      </c>
      <c r="C555" s="33" t="s">
        <v>238</v>
      </c>
      <c r="D555" s="33" t="s">
        <v>218</v>
      </c>
      <c r="E555" s="33" t="s">
        <v>219</v>
      </c>
      <c r="F555" s="161">
        <f t="shared" si="48"/>
        <v>2425</v>
      </c>
      <c r="G555" s="161">
        <f>2425</f>
        <v>2425</v>
      </c>
      <c r="H555" s="161"/>
      <c r="I555" s="162">
        <f t="shared" si="46"/>
        <v>2425</v>
      </c>
      <c r="J555" s="162">
        <f>2425</f>
        <v>2425</v>
      </c>
      <c r="K555" s="280"/>
      <c r="L555" s="163">
        <f t="shared" si="47"/>
        <v>2425</v>
      </c>
      <c r="M555" s="163">
        <f>2425</f>
        <v>2425</v>
      </c>
      <c r="N555" s="163"/>
      <c r="O555" s="15"/>
      <c r="P555" s="15"/>
    </row>
    <row r="556" spans="1:16" s="11" customFormat="1" ht="27">
      <c r="A556" s="93" t="s">
        <v>416</v>
      </c>
      <c r="B556" s="187" t="s">
        <v>742</v>
      </c>
      <c r="C556" s="33" t="s">
        <v>238</v>
      </c>
      <c r="D556" s="33" t="s">
        <v>218</v>
      </c>
      <c r="E556" s="33" t="s">
        <v>240</v>
      </c>
      <c r="F556" s="55">
        <f t="shared" si="48"/>
        <v>37143</v>
      </c>
      <c r="G556" s="55">
        <f>37143</f>
        <v>37143</v>
      </c>
      <c r="H556" s="55"/>
      <c r="I556" s="57">
        <f t="shared" si="46"/>
        <v>32459</v>
      </c>
      <c r="J556" s="57">
        <f>32459</f>
        <v>32459</v>
      </c>
      <c r="K556" s="274"/>
      <c r="L556" s="59">
        <f t="shared" si="47"/>
        <v>32624</v>
      </c>
      <c r="M556" s="59">
        <f>32624</f>
        <v>32624</v>
      </c>
      <c r="N556" s="59"/>
      <c r="O556" s="15"/>
      <c r="P556" s="15"/>
    </row>
    <row r="557" spans="1:16" s="11" customFormat="1" ht="27">
      <c r="A557" s="93" t="s">
        <v>416</v>
      </c>
      <c r="B557" s="187" t="s">
        <v>742</v>
      </c>
      <c r="C557" s="33" t="s">
        <v>238</v>
      </c>
      <c r="D557" s="33" t="s">
        <v>218</v>
      </c>
      <c r="E557" s="33" t="s">
        <v>71</v>
      </c>
      <c r="F557" s="46">
        <f t="shared" si="48"/>
        <v>701</v>
      </c>
      <c r="G557" s="51">
        <f>701</f>
        <v>701</v>
      </c>
      <c r="H557" s="51"/>
      <c r="I557" s="48">
        <f t="shared" si="46"/>
        <v>701</v>
      </c>
      <c r="J557" s="52">
        <f>701</f>
        <v>701</v>
      </c>
      <c r="K557" s="269"/>
      <c r="L557" s="39">
        <f t="shared" si="47"/>
        <v>701</v>
      </c>
      <c r="M557" s="53">
        <f>701</f>
        <v>701</v>
      </c>
      <c r="N557" s="53"/>
      <c r="O557" s="15"/>
      <c r="P557" s="15"/>
    </row>
    <row r="558" spans="1:16" s="11" customFormat="1" ht="27">
      <c r="A558" s="93" t="s">
        <v>416</v>
      </c>
      <c r="B558" s="187" t="s">
        <v>742</v>
      </c>
      <c r="C558" s="33" t="s">
        <v>238</v>
      </c>
      <c r="D558" s="33" t="s">
        <v>218</v>
      </c>
      <c r="E558" s="33" t="s">
        <v>241</v>
      </c>
      <c r="F558" s="46">
        <f t="shared" si="48"/>
        <v>428</v>
      </c>
      <c r="G558" s="51">
        <f>428</f>
        <v>428</v>
      </c>
      <c r="H558" s="51"/>
      <c r="I558" s="48">
        <f t="shared" si="46"/>
        <v>428</v>
      </c>
      <c r="J558" s="52">
        <f>428</f>
        <v>428</v>
      </c>
      <c r="K558" s="269"/>
      <c r="L558" s="39">
        <f t="shared" si="47"/>
        <v>428</v>
      </c>
      <c r="M558" s="53">
        <f>428</f>
        <v>428</v>
      </c>
      <c r="N558" s="53"/>
      <c r="O558" s="15"/>
      <c r="P558" s="15"/>
    </row>
    <row r="559" spans="1:16" s="11" customFormat="1" ht="27">
      <c r="A559" s="93" t="s">
        <v>416</v>
      </c>
      <c r="B559" s="187" t="s">
        <v>742</v>
      </c>
      <c r="C559" s="33" t="s">
        <v>238</v>
      </c>
      <c r="D559" s="33" t="s">
        <v>240</v>
      </c>
      <c r="E559" s="33" t="s">
        <v>294</v>
      </c>
      <c r="F559" s="46">
        <f t="shared" si="48"/>
        <v>13089</v>
      </c>
      <c r="G559" s="51">
        <f>13089</f>
        <v>13089</v>
      </c>
      <c r="H559" s="51"/>
      <c r="I559" s="48">
        <f aca="true" t="shared" si="49" ref="I559:I576">SUM(J559:K559)</f>
        <v>13089</v>
      </c>
      <c r="J559" s="52">
        <f>13089</f>
        <v>13089</v>
      </c>
      <c r="K559" s="269"/>
      <c r="L559" s="39">
        <f aca="true" t="shared" si="50" ref="L559:L576">SUM(M559:N559)</f>
        <v>13089</v>
      </c>
      <c r="M559" s="53">
        <f>13089</f>
        <v>13089</v>
      </c>
      <c r="N559" s="53"/>
      <c r="O559" s="15"/>
      <c r="P559" s="15"/>
    </row>
    <row r="560" spans="1:16" s="11" customFormat="1" ht="27">
      <c r="A560" s="93" t="s">
        <v>416</v>
      </c>
      <c r="B560" s="187" t="s">
        <v>742</v>
      </c>
      <c r="C560" s="33" t="s">
        <v>355</v>
      </c>
      <c r="D560" s="33" t="s">
        <v>218</v>
      </c>
      <c r="E560" s="33" t="s">
        <v>219</v>
      </c>
      <c r="F560" s="161">
        <f t="shared" si="48"/>
        <v>10301</v>
      </c>
      <c r="G560" s="161">
        <f>10301</f>
        <v>10301</v>
      </c>
      <c r="H560" s="161"/>
      <c r="I560" s="162">
        <f t="shared" si="49"/>
        <v>10301</v>
      </c>
      <c r="J560" s="162">
        <f>10301</f>
        <v>10301</v>
      </c>
      <c r="K560" s="280"/>
      <c r="L560" s="163">
        <f t="shared" si="50"/>
        <v>10301</v>
      </c>
      <c r="M560" s="163">
        <f>10301</f>
        <v>10301</v>
      </c>
      <c r="N560" s="163"/>
      <c r="O560" s="15"/>
      <c r="P560" s="15"/>
    </row>
    <row r="561" spans="1:16" s="11" customFormat="1" ht="27">
      <c r="A561" s="93" t="s">
        <v>416</v>
      </c>
      <c r="B561" s="187" t="s">
        <v>742</v>
      </c>
      <c r="C561" s="33" t="s">
        <v>239</v>
      </c>
      <c r="D561" s="33" t="s">
        <v>218</v>
      </c>
      <c r="E561" s="33" t="s">
        <v>219</v>
      </c>
      <c r="F561" s="161">
        <f>SUM(G561:H561)</f>
        <v>0</v>
      </c>
      <c r="G561" s="161"/>
      <c r="H561" s="161"/>
      <c r="I561" s="162">
        <f>SUM(J561:K561)</f>
        <v>0</v>
      </c>
      <c r="J561" s="162"/>
      <c r="K561" s="280"/>
      <c r="L561" s="163">
        <f>SUM(M561:N561)</f>
        <v>0</v>
      </c>
      <c r="M561" s="163"/>
      <c r="N561" s="163"/>
      <c r="O561" s="15"/>
      <c r="P561" s="15"/>
    </row>
    <row r="562" spans="1:16" s="11" customFormat="1" ht="27">
      <c r="A562" s="93" t="s">
        <v>416</v>
      </c>
      <c r="B562" s="187" t="s">
        <v>742</v>
      </c>
      <c r="C562" s="33" t="s">
        <v>239</v>
      </c>
      <c r="D562" s="33" t="s">
        <v>218</v>
      </c>
      <c r="E562" s="33" t="s">
        <v>240</v>
      </c>
      <c r="F562" s="55">
        <f t="shared" si="48"/>
        <v>1023</v>
      </c>
      <c r="G562" s="55">
        <f>1023</f>
        <v>1023</v>
      </c>
      <c r="H562" s="55"/>
      <c r="I562" s="57">
        <f t="shared" si="49"/>
        <v>1023</v>
      </c>
      <c r="J562" s="57">
        <f>1023</f>
        <v>1023</v>
      </c>
      <c r="K562" s="274"/>
      <c r="L562" s="59">
        <f t="shared" si="50"/>
        <v>1023</v>
      </c>
      <c r="M562" s="59">
        <f>1023</f>
        <v>1023</v>
      </c>
      <c r="N562" s="59"/>
      <c r="O562" s="15"/>
      <c r="P562" s="15"/>
    </row>
    <row r="563" spans="1:16" s="11" customFormat="1" ht="27">
      <c r="A563" s="93" t="s">
        <v>416</v>
      </c>
      <c r="B563" s="187" t="s">
        <v>742</v>
      </c>
      <c r="C563" s="33" t="s">
        <v>239</v>
      </c>
      <c r="D563" s="33" t="s">
        <v>218</v>
      </c>
      <c r="E563" s="33" t="s">
        <v>71</v>
      </c>
      <c r="F563" s="46">
        <f t="shared" si="48"/>
        <v>20</v>
      </c>
      <c r="G563" s="51">
        <f>20</f>
        <v>20</v>
      </c>
      <c r="H563" s="51"/>
      <c r="I563" s="48">
        <f t="shared" si="49"/>
        <v>20</v>
      </c>
      <c r="J563" s="52">
        <f>20</f>
        <v>20</v>
      </c>
      <c r="K563" s="269"/>
      <c r="L563" s="39">
        <f t="shared" si="50"/>
        <v>20</v>
      </c>
      <c r="M563" s="53">
        <f>20</f>
        <v>20</v>
      </c>
      <c r="N563" s="53"/>
      <c r="O563" s="15"/>
      <c r="P563" s="15"/>
    </row>
    <row r="564" spans="1:16" s="11" customFormat="1" ht="27">
      <c r="A564" s="93" t="s">
        <v>416</v>
      </c>
      <c r="B564" s="187" t="s">
        <v>742</v>
      </c>
      <c r="C564" s="33" t="s">
        <v>239</v>
      </c>
      <c r="D564" s="33" t="s">
        <v>218</v>
      </c>
      <c r="E564" s="33" t="s">
        <v>241</v>
      </c>
      <c r="F564" s="55">
        <f t="shared" si="48"/>
        <v>1</v>
      </c>
      <c r="G564" s="56">
        <f>1</f>
        <v>1</v>
      </c>
      <c r="H564" s="56"/>
      <c r="I564" s="57">
        <f t="shared" si="49"/>
        <v>1</v>
      </c>
      <c r="J564" s="58">
        <f>1</f>
        <v>1</v>
      </c>
      <c r="K564" s="270"/>
      <c r="L564" s="59">
        <f t="shared" si="50"/>
        <v>1</v>
      </c>
      <c r="M564" s="60">
        <f>1</f>
        <v>1</v>
      </c>
      <c r="N564" s="60"/>
      <c r="O564" s="15"/>
      <c r="P564" s="15"/>
    </row>
    <row r="565" spans="1:16" s="11" customFormat="1" ht="27">
      <c r="A565" s="93" t="s">
        <v>416</v>
      </c>
      <c r="B565" s="187" t="s">
        <v>742</v>
      </c>
      <c r="C565" s="33" t="s">
        <v>239</v>
      </c>
      <c r="D565" s="33" t="s">
        <v>240</v>
      </c>
      <c r="E565" s="33" t="s">
        <v>294</v>
      </c>
      <c r="F565" s="46">
        <f t="shared" si="48"/>
        <v>6506</v>
      </c>
      <c r="G565" s="51">
        <f>6506</f>
        <v>6506</v>
      </c>
      <c r="H565" s="51"/>
      <c r="I565" s="48">
        <f t="shared" si="49"/>
        <v>6506</v>
      </c>
      <c r="J565" s="52">
        <f>6506</f>
        <v>6506</v>
      </c>
      <c r="K565" s="269"/>
      <c r="L565" s="39">
        <f t="shared" si="50"/>
        <v>6506</v>
      </c>
      <c r="M565" s="53">
        <f>6506</f>
        <v>6506</v>
      </c>
      <c r="N565" s="53"/>
      <c r="O565" s="15"/>
      <c r="P565" s="15"/>
    </row>
    <row r="566" spans="1:16" s="11" customFormat="1" ht="27">
      <c r="A566" s="94" t="s">
        <v>744</v>
      </c>
      <c r="B566" s="187" t="s">
        <v>743</v>
      </c>
      <c r="C566" s="33" t="s">
        <v>237</v>
      </c>
      <c r="D566" s="33" t="s">
        <v>218</v>
      </c>
      <c r="E566" s="33" t="s">
        <v>240</v>
      </c>
      <c r="F566" s="46">
        <f t="shared" si="48"/>
        <v>2604</v>
      </c>
      <c r="G566" s="46">
        <f>2604</f>
        <v>2604</v>
      </c>
      <c r="H566" s="46"/>
      <c r="I566" s="48">
        <f t="shared" si="49"/>
        <v>2604</v>
      </c>
      <c r="J566" s="48">
        <f>2604</f>
        <v>2604</v>
      </c>
      <c r="K566" s="273"/>
      <c r="L566" s="39">
        <f t="shared" si="50"/>
        <v>2604</v>
      </c>
      <c r="M566" s="39">
        <f>2604</f>
        <v>2604</v>
      </c>
      <c r="N566" s="39"/>
      <c r="O566" s="15"/>
      <c r="P566" s="15"/>
    </row>
    <row r="567" spans="1:16" s="11" customFormat="1" ht="41.25">
      <c r="A567" s="93" t="s">
        <v>746</v>
      </c>
      <c r="B567" s="187" t="s">
        <v>745</v>
      </c>
      <c r="C567" s="33" t="s">
        <v>237</v>
      </c>
      <c r="D567" s="33" t="s">
        <v>218</v>
      </c>
      <c r="E567" s="33" t="s">
        <v>240</v>
      </c>
      <c r="F567" s="46">
        <f t="shared" si="48"/>
        <v>821</v>
      </c>
      <c r="G567" s="46">
        <f>821</f>
        <v>821</v>
      </c>
      <c r="H567" s="46"/>
      <c r="I567" s="48">
        <f t="shared" si="49"/>
        <v>821</v>
      </c>
      <c r="J567" s="48">
        <f>821</f>
        <v>821</v>
      </c>
      <c r="K567" s="273"/>
      <c r="L567" s="39">
        <f t="shared" si="50"/>
        <v>821</v>
      </c>
      <c r="M567" s="39">
        <f>821</f>
        <v>821</v>
      </c>
      <c r="N567" s="39"/>
      <c r="O567" s="15"/>
      <c r="P567" s="15"/>
    </row>
    <row r="568" spans="1:16" s="11" customFormat="1" ht="27">
      <c r="A568" s="107" t="s">
        <v>748</v>
      </c>
      <c r="B568" s="187" t="s">
        <v>747</v>
      </c>
      <c r="C568" s="33" t="s">
        <v>237</v>
      </c>
      <c r="D568" s="33" t="s">
        <v>240</v>
      </c>
      <c r="E568" s="33" t="s">
        <v>218</v>
      </c>
      <c r="F568" s="46">
        <f t="shared" si="48"/>
        <v>530</v>
      </c>
      <c r="G568" s="46">
        <f>530</f>
        <v>530</v>
      </c>
      <c r="H568" s="46"/>
      <c r="I568" s="48">
        <f t="shared" si="49"/>
        <v>530</v>
      </c>
      <c r="J568" s="48">
        <f>530</f>
        <v>530</v>
      </c>
      <c r="K568" s="273"/>
      <c r="L568" s="39">
        <f t="shared" si="50"/>
        <v>530</v>
      </c>
      <c r="M568" s="39">
        <f>530</f>
        <v>530</v>
      </c>
      <c r="N568" s="39"/>
      <c r="O568" s="15"/>
      <c r="P568" s="15"/>
    </row>
    <row r="569" spans="1:16" s="11" customFormat="1" ht="54.75">
      <c r="A569" s="260" t="s">
        <v>107</v>
      </c>
      <c r="B569" s="187" t="s">
        <v>749</v>
      </c>
      <c r="C569" s="33" t="s">
        <v>237</v>
      </c>
      <c r="D569" s="33" t="s">
        <v>218</v>
      </c>
      <c r="E569" s="33" t="s">
        <v>219</v>
      </c>
      <c r="F569" s="161">
        <f t="shared" si="48"/>
        <v>2441</v>
      </c>
      <c r="G569" s="161">
        <f>2441</f>
        <v>2441</v>
      </c>
      <c r="H569" s="161"/>
      <c r="I569" s="162">
        <f t="shared" si="49"/>
        <v>2460</v>
      </c>
      <c r="J569" s="162">
        <f>2460</f>
        <v>2460</v>
      </c>
      <c r="K569" s="280"/>
      <c r="L569" s="163">
        <f t="shared" si="50"/>
        <v>2536</v>
      </c>
      <c r="M569" s="163">
        <f>2536</f>
        <v>2536</v>
      </c>
      <c r="N569" s="163"/>
      <c r="O569" s="15"/>
      <c r="P569" s="15"/>
    </row>
    <row r="570" spans="1:16" s="11" customFormat="1" ht="41.25">
      <c r="A570" s="94" t="s">
        <v>247</v>
      </c>
      <c r="B570" s="187" t="s">
        <v>750</v>
      </c>
      <c r="C570" s="33" t="s">
        <v>237</v>
      </c>
      <c r="D570" s="33" t="s">
        <v>218</v>
      </c>
      <c r="E570" s="33" t="s">
        <v>624</v>
      </c>
      <c r="F570" s="46">
        <f t="shared" si="48"/>
        <v>52866</v>
      </c>
      <c r="G570" s="46">
        <f>52866</f>
        <v>52866</v>
      </c>
      <c r="H570" s="46"/>
      <c r="I570" s="48">
        <f t="shared" si="49"/>
        <v>55111</v>
      </c>
      <c r="J570" s="48">
        <f>55111</f>
        <v>55111</v>
      </c>
      <c r="K570" s="273"/>
      <c r="L570" s="39">
        <f t="shared" si="50"/>
        <v>57055</v>
      </c>
      <c r="M570" s="39">
        <f>57055</f>
        <v>57055</v>
      </c>
      <c r="N570" s="39"/>
      <c r="O570" s="15"/>
      <c r="P570" s="15"/>
    </row>
    <row r="571" spans="1:16" s="11" customFormat="1" ht="41.25">
      <c r="A571" s="94" t="s">
        <v>247</v>
      </c>
      <c r="B571" s="187" t="s">
        <v>750</v>
      </c>
      <c r="C571" s="33" t="s">
        <v>238</v>
      </c>
      <c r="D571" s="33" t="s">
        <v>218</v>
      </c>
      <c r="E571" s="33" t="s">
        <v>624</v>
      </c>
      <c r="F571" s="46">
        <f t="shared" si="48"/>
        <v>20659</v>
      </c>
      <c r="G571" s="68">
        <f>20659</f>
        <v>20659</v>
      </c>
      <c r="H571" s="46"/>
      <c r="I571" s="48">
        <f t="shared" si="49"/>
        <v>17804</v>
      </c>
      <c r="J571" s="48">
        <f>17804</f>
        <v>17804</v>
      </c>
      <c r="K571" s="273"/>
      <c r="L571" s="39">
        <f t="shared" si="50"/>
        <v>18009</v>
      </c>
      <c r="M571" s="39">
        <f>18009</f>
        <v>18009</v>
      </c>
      <c r="N571" s="39"/>
      <c r="O571" s="15"/>
      <c r="P571" s="15"/>
    </row>
    <row r="572" spans="1:16" s="11" customFormat="1" ht="41.25">
      <c r="A572" s="94" t="s">
        <v>247</v>
      </c>
      <c r="B572" s="187" t="s">
        <v>750</v>
      </c>
      <c r="C572" s="33" t="s">
        <v>239</v>
      </c>
      <c r="D572" s="33" t="s">
        <v>218</v>
      </c>
      <c r="E572" s="33" t="s">
        <v>624</v>
      </c>
      <c r="F572" s="46">
        <f t="shared" si="48"/>
        <v>1327</v>
      </c>
      <c r="G572" s="51">
        <f>1327</f>
        <v>1327</v>
      </c>
      <c r="H572" s="51"/>
      <c r="I572" s="48">
        <f t="shared" si="49"/>
        <v>1301</v>
      </c>
      <c r="J572" s="52">
        <f>1301</f>
        <v>1301</v>
      </c>
      <c r="K572" s="269"/>
      <c r="L572" s="39">
        <f t="shared" si="50"/>
        <v>1291</v>
      </c>
      <c r="M572" s="53">
        <f>1291</f>
        <v>1291</v>
      </c>
      <c r="N572" s="53"/>
      <c r="O572" s="15"/>
      <c r="P572" s="15"/>
    </row>
    <row r="573" spans="1:16" s="11" customFormat="1" ht="45.75" customHeight="1">
      <c r="A573" s="93" t="s">
        <v>752</v>
      </c>
      <c r="B573" s="187" t="s">
        <v>751</v>
      </c>
      <c r="C573" s="33" t="s">
        <v>237</v>
      </c>
      <c r="D573" s="33" t="s">
        <v>219</v>
      </c>
      <c r="E573" s="33" t="s">
        <v>240</v>
      </c>
      <c r="F573" s="46">
        <f t="shared" si="48"/>
        <v>0</v>
      </c>
      <c r="G573" s="51"/>
      <c r="H573" s="51"/>
      <c r="I573" s="48">
        <f t="shared" si="49"/>
        <v>0</v>
      </c>
      <c r="J573" s="52"/>
      <c r="K573" s="269"/>
      <c r="L573" s="39">
        <f t="shared" si="50"/>
        <v>0</v>
      </c>
      <c r="M573" s="53"/>
      <c r="N573" s="53"/>
      <c r="O573" s="15"/>
      <c r="P573" s="15"/>
    </row>
    <row r="574" spans="1:16" s="11" customFormat="1" ht="27">
      <c r="A574" s="93" t="s">
        <v>752</v>
      </c>
      <c r="B574" s="187" t="s">
        <v>751</v>
      </c>
      <c r="C574" s="33" t="s">
        <v>238</v>
      </c>
      <c r="D574" s="33" t="s">
        <v>219</v>
      </c>
      <c r="E574" s="33" t="s">
        <v>240</v>
      </c>
      <c r="F574" s="46">
        <f t="shared" si="48"/>
        <v>1741</v>
      </c>
      <c r="G574" s="51">
        <f>1741</f>
        <v>1741</v>
      </c>
      <c r="H574" s="51"/>
      <c r="I574" s="48">
        <f t="shared" si="49"/>
        <v>1746</v>
      </c>
      <c r="J574" s="52">
        <f>1746</f>
        <v>1746</v>
      </c>
      <c r="K574" s="269"/>
      <c r="L574" s="39">
        <f t="shared" si="50"/>
        <v>1796</v>
      </c>
      <c r="M574" s="53">
        <f>1796</f>
        <v>1796</v>
      </c>
      <c r="N574" s="53"/>
      <c r="O574" s="15"/>
      <c r="P574" s="15"/>
    </row>
    <row r="575" spans="1:16" s="11" customFormat="1" ht="27">
      <c r="A575" s="93" t="s">
        <v>752</v>
      </c>
      <c r="B575" s="187" t="s">
        <v>751</v>
      </c>
      <c r="C575" s="33" t="s">
        <v>239</v>
      </c>
      <c r="D575" s="33" t="s">
        <v>219</v>
      </c>
      <c r="E575" s="33" t="s">
        <v>240</v>
      </c>
      <c r="F575" s="46">
        <f t="shared" si="48"/>
        <v>400</v>
      </c>
      <c r="G575" s="51">
        <f>400</f>
        <v>400</v>
      </c>
      <c r="H575" s="51"/>
      <c r="I575" s="48">
        <f t="shared" si="49"/>
        <v>400</v>
      </c>
      <c r="J575" s="52">
        <f>400</f>
        <v>400</v>
      </c>
      <c r="K575" s="269"/>
      <c r="L575" s="39">
        <f t="shared" si="50"/>
        <v>400</v>
      </c>
      <c r="M575" s="53">
        <f>400</f>
        <v>400</v>
      </c>
      <c r="N575" s="53"/>
      <c r="O575" s="15"/>
      <c r="P575" s="15"/>
    </row>
    <row r="576" spans="1:16" s="11" customFormat="1" ht="27">
      <c r="A576" s="107" t="s">
        <v>754</v>
      </c>
      <c r="B576" s="187" t="s">
        <v>753</v>
      </c>
      <c r="C576" s="33" t="s">
        <v>237</v>
      </c>
      <c r="D576" s="33" t="s">
        <v>218</v>
      </c>
      <c r="E576" s="33" t="s">
        <v>241</v>
      </c>
      <c r="F576" s="46">
        <f t="shared" si="48"/>
        <v>4603</v>
      </c>
      <c r="G576" s="46">
        <f>4603</f>
        <v>4603</v>
      </c>
      <c r="H576" s="46"/>
      <c r="I576" s="48">
        <f t="shared" si="49"/>
        <v>4803</v>
      </c>
      <c r="J576" s="48">
        <f>4803</f>
        <v>4803</v>
      </c>
      <c r="K576" s="273"/>
      <c r="L576" s="39">
        <f t="shared" si="50"/>
        <v>4972</v>
      </c>
      <c r="M576" s="39">
        <f>4972</f>
        <v>4972</v>
      </c>
      <c r="N576" s="39"/>
      <c r="O576" s="15"/>
      <c r="P576" s="15"/>
    </row>
    <row r="577" spans="1:16" s="11" customFormat="1" ht="41.25">
      <c r="A577" s="142" t="s">
        <v>756</v>
      </c>
      <c r="B577" s="188" t="s">
        <v>755</v>
      </c>
      <c r="C577" s="62" t="s">
        <v>239</v>
      </c>
      <c r="D577" s="33" t="s">
        <v>218</v>
      </c>
      <c r="E577" s="33" t="s">
        <v>241</v>
      </c>
      <c r="F577" s="46">
        <f aca="true" t="shared" si="51" ref="F577:F587">SUM(G577:H577)</f>
        <v>0</v>
      </c>
      <c r="G577" s="46"/>
      <c r="H577" s="46"/>
      <c r="I577" s="48">
        <f>SUM(J577:K577)</f>
        <v>0</v>
      </c>
      <c r="J577" s="48"/>
      <c r="K577" s="273"/>
      <c r="L577" s="39">
        <f>SUM(M577:N577)</f>
        <v>0</v>
      </c>
      <c r="M577" s="39"/>
      <c r="N577" s="39"/>
      <c r="O577" s="15"/>
      <c r="P577" s="15"/>
    </row>
    <row r="578" spans="1:16" s="11" customFormat="1" ht="41.25">
      <c r="A578" s="94" t="s">
        <v>758</v>
      </c>
      <c r="B578" s="187" t="s">
        <v>757</v>
      </c>
      <c r="C578" s="33" t="s">
        <v>237</v>
      </c>
      <c r="D578" s="33" t="s">
        <v>218</v>
      </c>
      <c r="E578" s="33" t="s">
        <v>71</v>
      </c>
      <c r="F578" s="46">
        <f t="shared" si="51"/>
        <v>2941</v>
      </c>
      <c r="G578" s="46">
        <f>2941</f>
        <v>2941</v>
      </c>
      <c r="H578" s="46"/>
      <c r="I578" s="48">
        <f>SUM(J578:K578)</f>
        <v>3067</v>
      </c>
      <c r="J578" s="48">
        <f>3067</f>
        <v>3067</v>
      </c>
      <c r="K578" s="273"/>
      <c r="L578" s="39">
        <f>SUM(M578:N578)</f>
        <v>3174</v>
      </c>
      <c r="M578" s="39">
        <f>3174</f>
        <v>3174</v>
      </c>
      <c r="N578" s="39"/>
      <c r="O578" s="15"/>
      <c r="P578" s="15"/>
    </row>
    <row r="579" spans="1:16" s="11" customFormat="1" ht="41.25">
      <c r="A579" s="54" t="s">
        <v>760</v>
      </c>
      <c r="B579" s="187" t="s">
        <v>759</v>
      </c>
      <c r="C579" s="33" t="s">
        <v>238</v>
      </c>
      <c r="D579" s="33" t="s">
        <v>218</v>
      </c>
      <c r="E579" s="33" t="s">
        <v>624</v>
      </c>
      <c r="F579" s="46">
        <f t="shared" si="51"/>
        <v>1200</v>
      </c>
      <c r="G579" s="46">
        <f>1200</f>
        <v>1200</v>
      </c>
      <c r="H579" s="46"/>
      <c r="I579" s="48">
        <f>SUM(J579:K579)</f>
        <v>1200</v>
      </c>
      <c r="J579" s="48">
        <f>1200</f>
        <v>1200</v>
      </c>
      <c r="K579" s="273"/>
      <c r="L579" s="39">
        <f>SUM(M579:N579)</f>
        <v>1200</v>
      </c>
      <c r="M579" s="39">
        <f>1200</f>
        <v>1200</v>
      </c>
      <c r="N579" s="39"/>
      <c r="O579" s="15"/>
      <c r="P579" s="15"/>
    </row>
    <row r="580" spans="1:16" s="11" customFormat="1" ht="27">
      <c r="A580" s="107" t="s">
        <v>275</v>
      </c>
      <c r="B580" s="187" t="s">
        <v>761</v>
      </c>
      <c r="C580" s="33" t="s">
        <v>238</v>
      </c>
      <c r="D580" s="33" t="s">
        <v>218</v>
      </c>
      <c r="E580" s="33" t="s">
        <v>624</v>
      </c>
      <c r="F580" s="55">
        <f t="shared" si="51"/>
        <v>0</v>
      </c>
      <c r="G580" s="56"/>
      <c r="H580" s="56"/>
      <c r="I580" s="57">
        <f aca="true" t="shared" si="52" ref="I580:I594">SUM(J580:K580)</f>
        <v>0</v>
      </c>
      <c r="J580" s="58"/>
      <c r="K580" s="270"/>
      <c r="L580" s="59">
        <f aca="true" t="shared" si="53" ref="L580:L594">SUM(M580:N580)</f>
        <v>0</v>
      </c>
      <c r="M580" s="60"/>
      <c r="N580" s="60"/>
      <c r="O580" s="15"/>
      <c r="P580" s="15"/>
    </row>
    <row r="581" spans="1:16" s="11" customFormat="1" ht="27">
      <c r="A581" s="107" t="s">
        <v>275</v>
      </c>
      <c r="B581" s="187" t="s">
        <v>761</v>
      </c>
      <c r="C581" s="33" t="s">
        <v>238</v>
      </c>
      <c r="D581" s="33" t="s">
        <v>325</v>
      </c>
      <c r="E581" s="33" t="s">
        <v>325</v>
      </c>
      <c r="F581" s="55">
        <f>SUM(G581:H581)</f>
        <v>2500</v>
      </c>
      <c r="G581" s="56">
        <f>2500</f>
        <v>2500</v>
      </c>
      <c r="H581" s="56"/>
      <c r="I581" s="57">
        <f>SUM(J581:K581)</f>
        <v>0</v>
      </c>
      <c r="J581" s="58"/>
      <c r="K581" s="270"/>
      <c r="L581" s="59">
        <f>SUM(M581:N581)</f>
        <v>0</v>
      </c>
      <c r="M581" s="60"/>
      <c r="N581" s="60"/>
      <c r="O581" s="15"/>
      <c r="P581" s="15"/>
    </row>
    <row r="582" spans="1:16" s="11" customFormat="1" ht="27">
      <c r="A582" s="93" t="s">
        <v>763</v>
      </c>
      <c r="B582" s="187" t="s">
        <v>762</v>
      </c>
      <c r="C582" s="33" t="s">
        <v>239</v>
      </c>
      <c r="D582" s="33" t="s">
        <v>218</v>
      </c>
      <c r="E582" s="33" t="s">
        <v>624</v>
      </c>
      <c r="F582" s="55">
        <f t="shared" si="51"/>
        <v>19754</v>
      </c>
      <c r="G582" s="56">
        <f>19754</f>
        <v>19754</v>
      </c>
      <c r="H582" s="56"/>
      <c r="I582" s="57">
        <f t="shared" si="52"/>
        <v>19754</v>
      </c>
      <c r="J582" s="58">
        <f>19754</f>
        <v>19754</v>
      </c>
      <c r="K582" s="270"/>
      <c r="L582" s="59">
        <f t="shared" si="53"/>
        <v>19754</v>
      </c>
      <c r="M582" s="60">
        <f>19754</f>
        <v>19754</v>
      </c>
      <c r="N582" s="60"/>
      <c r="O582" s="15"/>
      <c r="P582" s="15"/>
    </row>
    <row r="583" spans="1:16" s="11" customFormat="1" ht="27">
      <c r="A583" s="93" t="s">
        <v>763</v>
      </c>
      <c r="B583" s="187" t="s">
        <v>762</v>
      </c>
      <c r="C583" s="33" t="s">
        <v>239</v>
      </c>
      <c r="D583" s="33" t="s">
        <v>240</v>
      </c>
      <c r="E583" s="33" t="s">
        <v>294</v>
      </c>
      <c r="F583" s="46">
        <f t="shared" si="51"/>
        <v>2108</v>
      </c>
      <c r="G583" s="51">
        <f>2108</f>
        <v>2108</v>
      </c>
      <c r="H583" s="51"/>
      <c r="I583" s="48">
        <f t="shared" si="52"/>
        <v>2108</v>
      </c>
      <c r="J583" s="52">
        <f>2108</f>
        <v>2108</v>
      </c>
      <c r="K583" s="269"/>
      <c r="L583" s="39">
        <f t="shared" si="53"/>
        <v>2108</v>
      </c>
      <c r="M583" s="53">
        <f>2108</f>
        <v>2108</v>
      </c>
      <c r="N583" s="53"/>
      <c r="O583" s="15"/>
      <c r="P583" s="15"/>
    </row>
    <row r="584" spans="1:16" s="11" customFormat="1" ht="27">
      <c r="A584" s="93" t="s">
        <v>763</v>
      </c>
      <c r="B584" s="187" t="s">
        <v>762</v>
      </c>
      <c r="C584" s="33" t="s">
        <v>239</v>
      </c>
      <c r="D584" s="33" t="s">
        <v>241</v>
      </c>
      <c r="E584" s="33" t="s">
        <v>218</v>
      </c>
      <c r="F584" s="55">
        <f>SUM(G584:H584)</f>
        <v>0</v>
      </c>
      <c r="G584" s="56"/>
      <c r="H584" s="56"/>
      <c r="I584" s="57">
        <f>SUM(J584:K584)</f>
        <v>0</v>
      </c>
      <c r="J584" s="58"/>
      <c r="K584" s="270"/>
      <c r="L584" s="59">
        <f>SUM(M584:N584)</f>
        <v>0</v>
      </c>
      <c r="M584" s="60"/>
      <c r="N584" s="60"/>
      <c r="O584" s="15"/>
      <c r="P584" s="15"/>
    </row>
    <row r="585" spans="1:16" s="11" customFormat="1" ht="27">
      <c r="A585" s="93" t="s">
        <v>763</v>
      </c>
      <c r="B585" s="187" t="s">
        <v>762</v>
      </c>
      <c r="C585" s="33" t="s">
        <v>239</v>
      </c>
      <c r="D585" s="33" t="s">
        <v>241</v>
      </c>
      <c r="E585" s="33" t="s">
        <v>356</v>
      </c>
      <c r="F585" s="55">
        <f>SUM(G585:H585)</f>
        <v>0</v>
      </c>
      <c r="G585" s="56"/>
      <c r="H585" s="56"/>
      <c r="I585" s="57">
        <f>SUM(J585:K585)</f>
        <v>0</v>
      </c>
      <c r="J585" s="58"/>
      <c r="K585" s="270"/>
      <c r="L585" s="59">
        <f>SUM(M585:N585)</f>
        <v>0</v>
      </c>
      <c r="M585" s="60"/>
      <c r="N585" s="60"/>
      <c r="O585" s="15"/>
      <c r="P585" s="15"/>
    </row>
    <row r="586" spans="1:16" s="11" customFormat="1" ht="27">
      <c r="A586" s="93" t="s">
        <v>763</v>
      </c>
      <c r="B586" s="187" t="s">
        <v>762</v>
      </c>
      <c r="C586" s="33" t="s">
        <v>239</v>
      </c>
      <c r="D586" s="33" t="s">
        <v>508</v>
      </c>
      <c r="E586" s="33" t="s">
        <v>356</v>
      </c>
      <c r="F586" s="55">
        <f>SUM(G586:H586)</f>
        <v>0</v>
      </c>
      <c r="G586" s="56"/>
      <c r="H586" s="56"/>
      <c r="I586" s="57">
        <f>SUM(J586:K586)</f>
        <v>0</v>
      </c>
      <c r="J586" s="58"/>
      <c r="K586" s="270"/>
      <c r="L586" s="59">
        <f>SUM(M586:N586)</f>
        <v>0</v>
      </c>
      <c r="M586" s="60"/>
      <c r="N586" s="60"/>
      <c r="O586" s="15"/>
      <c r="P586" s="15"/>
    </row>
    <row r="587" spans="1:16" s="11" customFormat="1" ht="27">
      <c r="A587" s="107" t="s">
        <v>765</v>
      </c>
      <c r="B587" s="187" t="s">
        <v>764</v>
      </c>
      <c r="C587" s="33" t="s">
        <v>239</v>
      </c>
      <c r="D587" s="33" t="s">
        <v>218</v>
      </c>
      <c r="E587" s="33" t="s">
        <v>508</v>
      </c>
      <c r="F587" s="46">
        <f t="shared" si="51"/>
        <v>38500</v>
      </c>
      <c r="G587" s="46">
        <f>38500</f>
        <v>38500</v>
      </c>
      <c r="H587" s="46"/>
      <c r="I587" s="48">
        <f t="shared" si="52"/>
        <v>38500</v>
      </c>
      <c r="J587" s="48">
        <f>38500</f>
        <v>38500</v>
      </c>
      <c r="K587" s="273"/>
      <c r="L587" s="39">
        <f t="shared" si="53"/>
        <v>38500</v>
      </c>
      <c r="M587" s="39">
        <f>38500</f>
        <v>38500</v>
      </c>
      <c r="N587" s="39"/>
      <c r="O587" s="15"/>
      <c r="P587" s="15"/>
    </row>
    <row r="588" spans="1:16" s="9" customFormat="1" ht="13.5">
      <c r="A588" s="93" t="s">
        <v>768</v>
      </c>
      <c r="B588" s="187" t="s">
        <v>766</v>
      </c>
      <c r="C588" s="33" t="s">
        <v>767</v>
      </c>
      <c r="D588" s="33" t="s">
        <v>624</v>
      </c>
      <c r="E588" s="33" t="s">
        <v>218</v>
      </c>
      <c r="F588" s="46">
        <f aca="true" t="shared" si="54" ref="F588:F594">SUM(G588:H588)</f>
        <v>188000</v>
      </c>
      <c r="G588" s="51">
        <f>188000</f>
        <v>188000</v>
      </c>
      <c r="H588" s="51"/>
      <c r="I588" s="48">
        <f t="shared" si="52"/>
        <v>188000</v>
      </c>
      <c r="J588" s="52">
        <f>188000</f>
        <v>188000</v>
      </c>
      <c r="K588" s="270"/>
      <c r="L588" s="39">
        <f t="shared" si="53"/>
        <v>188000</v>
      </c>
      <c r="M588" s="53">
        <f>188000</f>
        <v>188000</v>
      </c>
      <c r="N588" s="60"/>
      <c r="O588" s="23"/>
      <c r="P588" s="23"/>
    </row>
    <row r="589" spans="1:16" s="9" customFormat="1" ht="13.5">
      <c r="A589" s="93" t="s">
        <v>770</v>
      </c>
      <c r="B589" s="187" t="s">
        <v>769</v>
      </c>
      <c r="C589" s="33" t="s">
        <v>274</v>
      </c>
      <c r="D589" s="33" t="s">
        <v>325</v>
      </c>
      <c r="E589" s="33" t="s">
        <v>219</v>
      </c>
      <c r="F589" s="46">
        <f t="shared" si="54"/>
        <v>250</v>
      </c>
      <c r="G589" s="51">
        <f>250</f>
        <v>250</v>
      </c>
      <c r="H589" s="51"/>
      <c r="I589" s="48">
        <f t="shared" si="52"/>
        <v>250</v>
      </c>
      <c r="J589" s="52">
        <f>250</f>
        <v>250</v>
      </c>
      <c r="K589" s="269"/>
      <c r="L589" s="39">
        <f t="shared" si="53"/>
        <v>250</v>
      </c>
      <c r="M589" s="53">
        <f>250</f>
        <v>250</v>
      </c>
      <c r="N589" s="53"/>
      <c r="O589" s="23"/>
      <c r="P589" s="23"/>
    </row>
    <row r="590" spans="1:16" s="9" customFormat="1" ht="13.5">
      <c r="A590" s="93" t="s">
        <v>362</v>
      </c>
      <c r="B590" s="187" t="s">
        <v>771</v>
      </c>
      <c r="C590" s="33" t="s">
        <v>238</v>
      </c>
      <c r="D590" s="33" t="s">
        <v>251</v>
      </c>
      <c r="E590" s="33" t="s">
        <v>218</v>
      </c>
      <c r="F590" s="55">
        <f t="shared" si="54"/>
        <v>8116</v>
      </c>
      <c r="G590" s="56">
        <f>8116</f>
        <v>8116</v>
      </c>
      <c r="H590" s="56"/>
      <c r="I590" s="57">
        <f t="shared" si="52"/>
        <v>8061</v>
      </c>
      <c r="J590" s="58">
        <f>8061</f>
        <v>8061</v>
      </c>
      <c r="K590" s="270"/>
      <c r="L590" s="59">
        <f t="shared" si="53"/>
        <v>8061</v>
      </c>
      <c r="M590" s="60">
        <f>8061</f>
        <v>8061</v>
      </c>
      <c r="N590" s="60"/>
      <c r="O590" s="23"/>
      <c r="P590" s="23"/>
    </row>
    <row r="591" spans="1:16" s="9" customFormat="1" ht="13.5">
      <c r="A591" s="93" t="s">
        <v>362</v>
      </c>
      <c r="B591" s="187" t="s">
        <v>771</v>
      </c>
      <c r="C591" s="33" t="s">
        <v>355</v>
      </c>
      <c r="D591" s="33" t="s">
        <v>251</v>
      </c>
      <c r="E591" s="33" t="s">
        <v>218</v>
      </c>
      <c r="F591" s="46">
        <f t="shared" si="54"/>
        <v>835</v>
      </c>
      <c r="G591" s="51">
        <f>835</f>
        <v>835</v>
      </c>
      <c r="H591" s="51"/>
      <c r="I591" s="48">
        <f t="shared" si="52"/>
        <v>835</v>
      </c>
      <c r="J591" s="52">
        <f>835</f>
        <v>835</v>
      </c>
      <c r="K591" s="269"/>
      <c r="L591" s="39">
        <f t="shared" si="53"/>
        <v>835</v>
      </c>
      <c r="M591" s="53">
        <f>835</f>
        <v>835</v>
      </c>
      <c r="N591" s="53"/>
      <c r="O591" s="23"/>
      <c r="P591" s="23"/>
    </row>
    <row r="592" spans="1:16" s="11" customFormat="1" ht="13.5">
      <c r="A592" s="93" t="s">
        <v>362</v>
      </c>
      <c r="B592" s="187" t="s">
        <v>771</v>
      </c>
      <c r="C592" s="33" t="s">
        <v>274</v>
      </c>
      <c r="D592" s="33" t="s">
        <v>251</v>
      </c>
      <c r="E592" s="33" t="s">
        <v>218</v>
      </c>
      <c r="F592" s="55">
        <f t="shared" si="54"/>
        <v>0</v>
      </c>
      <c r="G592" s="56"/>
      <c r="H592" s="56"/>
      <c r="I592" s="57">
        <f t="shared" si="52"/>
        <v>0</v>
      </c>
      <c r="J592" s="58"/>
      <c r="K592" s="270"/>
      <c r="L592" s="59">
        <f t="shared" si="53"/>
        <v>0</v>
      </c>
      <c r="M592" s="60"/>
      <c r="N592" s="60"/>
      <c r="O592" s="15"/>
      <c r="P592" s="15"/>
    </row>
    <row r="593" spans="1:16" s="11" customFormat="1" ht="13.5">
      <c r="A593" s="93" t="s">
        <v>362</v>
      </c>
      <c r="B593" s="187" t="s">
        <v>771</v>
      </c>
      <c r="C593" s="33" t="s">
        <v>239</v>
      </c>
      <c r="D593" s="33" t="s">
        <v>251</v>
      </c>
      <c r="E593" s="33" t="s">
        <v>218</v>
      </c>
      <c r="F593" s="46">
        <f t="shared" si="54"/>
        <v>1614</v>
      </c>
      <c r="G593" s="51">
        <f>1614</f>
        <v>1614</v>
      </c>
      <c r="H593" s="51"/>
      <c r="I593" s="48">
        <f t="shared" si="52"/>
        <v>1614</v>
      </c>
      <c r="J593" s="52">
        <f>1614</f>
        <v>1614</v>
      </c>
      <c r="K593" s="269"/>
      <c r="L593" s="39">
        <f t="shared" si="53"/>
        <v>1614</v>
      </c>
      <c r="M593" s="53">
        <f>1614</f>
        <v>1614</v>
      </c>
      <c r="N593" s="53"/>
      <c r="O593" s="15"/>
      <c r="P593" s="15"/>
    </row>
    <row r="594" spans="1:16" s="11" customFormat="1" ht="41.25">
      <c r="A594" s="54" t="s">
        <v>277</v>
      </c>
      <c r="B594" s="187" t="s">
        <v>773</v>
      </c>
      <c r="C594" s="33" t="s">
        <v>279</v>
      </c>
      <c r="D594" s="33" t="s">
        <v>325</v>
      </c>
      <c r="E594" s="33" t="s">
        <v>325</v>
      </c>
      <c r="F594" s="55">
        <f t="shared" si="54"/>
        <v>0</v>
      </c>
      <c r="G594" s="55"/>
      <c r="H594" s="55"/>
      <c r="I594" s="57">
        <f t="shared" si="52"/>
        <v>0</v>
      </c>
      <c r="J594" s="57"/>
      <c r="K594" s="274"/>
      <c r="L594" s="59">
        <f t="shared" si="53"/>
        <v>0</v>
      </c>
      <c r="M594" s="59"/>
      <c r="N594" s="59"/>
      <c r="O594" s="15"/>
      <c r="P594" s="15"/>
    </row>
    <row r="595" spans="1:16" s="11" customFormat="1" ht="54.75">
      <c r="A595" s="165" t="s">
        <v>775</v>
      </c>
      <c r="B595" s="188" t="s">
        <v>774</v>
      </c>
      <c r="C595" s="62" t="s">
        <v>238</v>
      </c>
      <c r="D595" s="62" t="s">
        <v>218</v>
      </c>
      <c r="E595" s="62" t="s">
        <v>325</v>
      </c>
      <c r="F595" s="46">
        <f aca="true" t="shared" si="55" ref="F595:F602">SUM(G595:H595)</f>
        <v>27</v>
      </c>
      <c r="G595" s="46"/>
      <c r="H595" s="46">
        <v>27</v>
      </c>
      <c r="I595" s="48">
        <f aca="true" t="shared" si="56" ref="I595:I602">SUM(J595:K595)</f>
        <v>43</v>
      </c>
      <c r="J595" s="48"/>
      <c r="K595" s="273">
        <v>43</v>
      </c>
      <c r="L595" s="39">
        <f aca="true" t="shared" si="57" ref="L595:L602">SUM(M595:N595)</f>
        <v>43</v>
      </c>
      <c r="M595" s="39"/>
      <c r="N595" s="39">
        <f>43</f>
        <v>43</v>
      </c>
      <c r="O595" s="15"/>
      <c r="P595" s="15"/>
    </row>
    <row r="596" spans="1:14" s="11" customFormat="1" ht="82.5">
      <c r="A596" s="54" t="s">
        <v>777</v>
      </c>
      <c r="B596" s="187" t="s">
        <v>776</v>
      </c>
      <c r="C596" s="33" t="s">
        <v>237</v>
      </c>
      <c r="D596" s="33" t="s">
        <v>219</v>
      </c>
      <c r="E596" s="33" t="s">
        <v>240</v>
      </c>
      <c r="F596" s="46">
        <f t="shared" si="55"/>
        <v>11407</v>
      </c>
      <c r="G596" s="51"/>
      <c r="H596" s="51">
        <v>11407</v>
      </c>
      <c r="I596" s="48">
        <f t="shared" si="56"/>
        <v>10334</v>
      </c>
      <c r="J596" s="52"/>
      <c r="K596" s="269">
        <v>10334</v>
      </c>
      <c r="L596" s="39">
        <f t="shared" si="57"/>
        <v>10554</v>
      </c>
      <c r="M596" s="53"/>
      <c r="N596" s="53">
        <f>10554</f>
        <v>10554</v>
      </c>
    </row>
    <row r="597" spans="1:16" s="11" customFormat="1" ht="82.5">
      <c r="A597" s="54" t="s">
        <v>777</v>
      </c>
      <c r="B597" s="187" t="s">
        <v>776</v>
      </c>
      <c r="C597" s="33" t="s">
        <v>238</v>
      </c>
      <c r="D597" s="33" t="s">
        <v>219</v>
      </c>
      <c r="E597" s="33" t="s">
        <v>240</v>
      </c>
      <c r="F597" s="46">
        <f t="shared" si="55"/>
        <v>1543</v>
      </c>
      <c r="G597" s="51"/>
      <c r="H597" s="51">
        <v>1543</v>
      </c>
      <c r="I597" s="48">
        <f t="shared" si="56"/>
        <v>1543</v>
      </c>
      <c r="J597" s="52"/>
      <c r="K597" s="269">
        <v>1543</v>
      </c>
      <c r="L597" s="39">
        <f t="shared" si="57"/>
        <v>1442</v>
      </c>
      <c r="M597" s="53"/>
      <c r="N597" s="53">
        <f>1442</f>
        <v>1442</v>
      </c>
      <c r="O597" s="15"/>
      <c r="P597" s="15"/>
    </row>
    <row r="598" spans="1:16" s="11" customFormat="1" ht="69">
      <c r="A598" s="115" t="s">
        <v>653</v>
      </c>
      <c r="B598" s="231" t="s">
        <v>654</v>
      </c>
      <c r="C598" s="12" t="s">
        <v>239</v>
      </c>
      <c r="D598" s="12" t="s">
        <v>240</v>
      </c>
      <c r="E598" s="12" t="s">
        <v>251</v>
      </c>
      <c r="F598" s="116">
        <f t="shared" si="55"/>
        <v>0</v>
      </c>
      <c r="G598" s="117"/>
      <c r="H598" s="117"/>
      <c r="I598" s="177">
        <f t="shared" si="56"/>
        <v>0</v>
      </c>
      <c r="J598" s="178"/>
      <c r="K598" s="275"/>
      <c r="L598" s="179">
        <f t="shared" si="57"/>
        <v>0</v>
      </c>
      <c r="M598" s="180"/>
      <c r="N598" s="180"/>
      <c r="O598" s="15"/>
      <c r="P598" s="15"/>
    </row>
    <row r="599" spans="1:16" s="11" customFormat="1" ht="69">
      <c r="A599" s="115" t="s">
        <v>653</v>
      </c>
      <c r="B599" s="231" t="s">
        <v>654</v>
      </c>
      <c r="C599" s="12" t="s">
        <v>239</v>
      </c>
      <c r="D599" s="12" t="s">
        <v>251</v>
      </c>
      <c r="E599" s="12" t="s">
        <v>218</v>
      </c>
      <c r="F599" s="116">
        <f t="shared" si="55"/>
        <v>0</v>
      </c>
      <c r="G599" s="117"/>
      <c r="H599" s="117"/>
      <c r="I599" s="177">
        <f t="shared" si="56"/>
        <v>0</v>
      </c>
      <c r="J599" s="178"/>
      <c r="K599" s="275"/>
      <c r="L599" s="179">
        <f t="shared" si="57"/>
        <v>0</v>
      </c>
      <c r="M599" s="180"/>
      <c r="N599" s="180"/>
      <c r="O599" s="15"/>
      <c r="P599" s="15"/>
    </row>
    <row r="600" spans="1:16" s="11" customFormat="1" ht="27">
      <c r="A600" s="94" t="s">
        <v>779</v>
      </c>
      <c r="B600" s="187" t="s">
        <v>778</v>
      </c>
      <c r="C600" s="33" t="s">
        <v>237</v>
      </c>
      <c r="D600" s="33" t="s">
        <v>240</v>
      </c>
      <c r="E600" s="33" t="s">
        <v>218</v>
      </c>
      <c r="F600" s="46">
        <f t="shared" si="55"/>
        <v>1380</v>
      </c>
      <c r="G600" s="46"/>
      <c r="H600" s="46">
        <v>1380</v>
      </c>
      <c r="I600" s="48">
        <f t="shared" si="56"/>
        <v>1380</v>
      </c>
      <c r="J600" s="48"/>
      <c r="K600" s="273">
        <v>1380</v>
      </c>
      <c r="L600" s="39">
        <f t="shared" si="57"/>
        <v>1394</v>
      </c>
      <c r="M600" s="39"/>
      <c r="N600" s="39">
        <f>1394</f>
        <v>1394</v>
      </c>
      <c r="O600" s="15"/>
      <c r="P600" s="15"/>
    </row>
    <row r="601" spans="1:14" s="14" customFormat="1" ht="54.75">
      <c r="A601" s="94" t="s">
        <v>781</v>
      </c>
      <c r="B601" s="187" t="s">
        <v>780</v>
      </c>
      <c r="C601" s="33" t="s">
        <v>237</v>
      </c>
      <c r="D601" s="33" t="s">
        <v>218</v>
      </c>
      <c r="E601" s="33" t="s">
        <v>240</v>
      </c>
      <c r="F601" s="46">
        <f t="shared" si="55"/>
        <v>2928</v>
      </c>
      <c r="G601" s="46"/>
      <c r="H601" s="46">
        <v>2928</v>
      </c>
      <c r="I601" s="48">
        <f t="shared" si="56"/>
        <v>2928</v>
      </c>
      <c r="J601" s="48"/>
      <c r="K601" s="273">
        <v>2928</v>
      </c>
      <c r="L601" s="39">
        <f t="shared" si="57"/>
        <v>2908</v>
      </c>
      <c r="M601" s="39"/>
      <c r="N601" s="39">
        <f>2908</f>
        <v>2908</v>
      </c>
    </row>
    <row r="602" spans="1:16" ht="54.75">
      <c r="A602" s="94" t="s">
        <v>781</v>
      </c>
      <c r="B602" s="187" t="s">
        <v>780</v>
      </c>
      <c r="C602" s="33" t="s">
        <v>238</v>
      </c>
      <c r="D602" s="33" t="s">
        <v>218</v>
      </c>
      <c r="E602" s="33" t="s">
        <v>240</v>
      </c>
      <c r="F602" s="46">
        <f t="shared" si="55"/>
        <v>130</v>
      </c>
      <c r="G602" s="46"/>
      <c r="H602" s="46">
        <v>130</v>
      </c>
      <c r="I602" s="48">
        <f t="shared" si="56"/>
        <v>130</v>
      </c>
      <c r="J602" s="48"/>
      <c r="K602" s="273">
        <v>130</v>
      </c>
      <c r="L602" s="39">
        <f t="shared" si="57"/>
        <v>150</v>
      </c>
      <c r="M602" s="39"/>
      <c r="N602" s="39">
        <f>150</f>
        <v>150</v>
      </c>
      <c r="O602" s="25"/>
      <c r="P602" s="25"/>
    </row>
    <row r="603" spans="1:16" ht="54.75">
      <c r="A603" s="94" t="s">
        <v>783</v>
      </c>
      <c r="B603" s="187" t="s">
        <v>782</v>
      </c>
      <c r="C603" s="33" t="s">
        <v>237</v>
      </c>
      <c r="D603" s="33" t="s">
        <v>71</v>
      </c>
      <c r="E603" s="33" t="s">
        <v>325</v>
      </c>
      <c r="F603" s="46">
        <f aca="true" t="shared" si="58" ref="F603:F613">SUM(G603:H603)</f>
        <v>1530</v>
      </c>
      <c r="G603" s="46"/>
      <c r="H603" s="46">
        <v>1530</v>
      </c>
      <c r="I603" s="48">
        <f aca="true" t="shared" si="59" ref="I603:I613">SUM(J603:K603)</f>
        <v>1530</v>
      </c>
      <c r="J603" s="48"/>
      <c r="K603" s="273">
        <v>1530</v>
      </c>
      <c r="L603" s="39">
        <f aca="true" t="shared" si="60" ref="L603:L613">SUM(M603:N603)</f>
        <v>1470</v>
      </c>
      <c r="M603" s="39"/>
      <c r="N603" s="39">
        <f>1470</f>
        <v>1470</v>
      </c>
      <c r="O603" s="25"/>
      <c r="P603" s="25"/>
    </row>
    <row r="604" spans="1:16" ht="41.25">
      <c r="A604" s="232" t="s">
        <v>103</v>
      </c>
      <c r="B604" s="187" t="s">
        <v>102</v>
      </c>
      <c r="C604" s="33" t="s">
        <v>237</v>
      </c>
      <c r="D604" s="33" t="s">
        <v>218</v>
      </c>
      <c r="E604" s="33" t="s">
        <v>240</v>
      </c>
      <c r="F604" s="46">
        <f t="shared" si="58"/>
        <v>0</v>
      </c>
      <c r="G604" s="46"/>
      <c r="H604" s="46"/>
      <c r="I604" s="48">
        <f t="shared" si="59"/>
        <v>0</v>
      </c>
      <c r="J604" s="48"/>
      <c r="K604" s="273"/>
      <c r="L604" s="39">
        <f t="shared" si="60"/>
        <v>0</v>
      </c>
      <c r="M604" s="39"/>
      <c r="N604" s="39"/>
      <c r="O604" s="25"/>
      <c r="P604" s="25"/>
    </row>
    <row r="605" spans="1:16" ht="41.25">
      <c r="A605" s="232" t="s">
        <v>103</v>
      </c>
      <c r="B605" s="187" t="s">
        <v>102</v>
      </c>
      <c r="C605" s="33" t="s">
        <v>237</v>
      </c>
      <c r="D605" s="33" t="s">
        <v>240</v>
      </c>
      <c r="E605" s="33" t="s">
        <v>294</v>
      </c>
      <c r="F605" s="46">
        <f t="shared" si="58"/>
        <v>0</v>
      </c>
      <c r="G605" s="46"/>
      <c r="H605" s="46"/>
      <c r="I605" s="48">
        <f t="shared" si="59"/>
        <v>0</v>
      </c>
      <c r="J605" s="48"/>
      <c r="K605" s="273"/>
      <c r="L605" s="39">
        <f t="shared" si="60"/>
        <v>0</v>
      </c>
      <c r="M605" s="39"/>
      <c r="N605" s="39"/>
      <c r="O605" s="25"/>
      <c r="P605" s="25"/>
    </row>
    <row r="606" spans="1:16" ht="41.25">
      <c r="A606" s="232" t="s">
        <v>103</v>
      </c>
      <c r="B606" s="187" t="s">
        <v>102</v>
      </c>
      <c r="C606" s="33" t="s">
        <v>237</v>
      </c>
      <c r="D606" s="33" t="s">
        <v>241</v>
      </c>
      <c r="E606" s="33" t="s">
        <v>248</v>
      </c>
      <c r="F606" s="46">
        <f t="shared" si="58"/>
        <v>0</v>
      </c>
      <c r="G606" s="46"/>
      <c r="H606" s="46"/>
      <c r="I606" s="48">
        <f t="shared" si="59"/>
        <v>0</v>
      </c>
      <c r="J606" s="48"/>
      <c r="K606" s="273"/>
      <c r="L606" s="39">
        <f t="shared" si="60"/>
        <v>0</v>
      </c>
      <c r="M606" s="39"/>
      <c r="N606" s="39"/>
      <c r="O606" s="25"/>
      <c r="P606" s="25"/>
    </row>
    <row r="607" spans="1:16" ht="41.25">
      <c r="A607" s="232" t="s">
        <v>103</v>
      </c>
      <c r="B607" s="187" t="s">
        <v>102</v>
      </c>
      <c r="C607" s="33" t="s">
        <v>237</v>
      </c>
      <c r="D607" s="33" t="s">
        <v>251</v>
      </c>
      <c r="E607" s="33" t="s">
        <v>240</v>
      </c>
      <c r="F607" s="46">
        <f t="shared" si="58"/>
        <v>0</v>
      </c>
      <c r="G607" s="46"/>
      <c r="H607" s="46"/>
      <c r="I607" s="48">
        <f t="shared" si="59"/>
        <v>0</v>
      </c>
      <c r="J607" s="48"/>
      <c r="K607" s="273"/>
      <c r="L607" s="39">
        <f t="shared" si="60"/>
        <v>0</v>
      </c>
      <c r="M607" s="39"/>
      <c r="N607" s="39"/>
      <c r="O607" s="25"/>
      <c r="P607" s="25"/>
    </row>
    <row r="608" spans="1:16" ht="41.25">
      <c r="A608" s="232" t="s">
        <v>103</v>
      </c>
      <c r="B608" s="187" t="s">
        <v>102</v>
      </c>
      <c r="C608" s="33" t="s">
        <v>237</v>
      </c>
      <c r="D608" s="33" t="s">
        <v>399</v>
      </c>
      <c r="E608" s="33" t="s">
        <v>71</v>
      </c>
      <c r="F608" s="46">
        <f t="shared" si="58"/>
        <v>0</v>
      </c>
      <c r="G608" s="46"/>
      <c r="H608" s="46"/>
      <c r="I608" s="48">
        <f t="shared" si="59"/>
        <v>0</v>
      </c>
      <c r="J608" s="48"/>
      <c r="K608" s="273"/>
      <c r="L608" s="39">
        <f t="shared" si="60"/>
        <v>0</v>
      </c>
      <c r="M608" s="39"/>
      <c r="N608" s="39"/>
      <c r="O608" s="25"/>
      <c r="P608" s="25"/>
    </row>
    <row r="609" spans="1:16" ht="41.25">
      <c r="A609" s="232" t="s">
        <v>103</v>
      </c>
      <c r="B609" s="187" t="s">
        <v>102</v>
      </c>
      <c r="C609" s="33" t="s">
        <v>237</v>
      </c>
      <c r="D609" s="33" t="s">
        <v>508</v>
      </c>
      <c r="E609" s="33" t="s">
        <v>325</v>
      </c>
      <c r="F609" s="46">
        <f t="shared" si="58"/>
        <v>0</v>
      </c>
      <c r="G609" s="46"/>
      <c r="H609" s="46"/>
      <c r="I609" s="48">
        <f t="shared" si="59"/>
        <v>0</v>
      </c>
      <c r="J609" s="48"/>
      <c r="K609" s="273"/>
      <c r="L609" s="39">
        <f t="shared" si="60"/>
        <v>0</v>
      </c>
      <c r="M609" s="39"/>
      <c r="N609" s="39"/>
      <c r="O609" s="25"/>
      <c r="P609" s="25"/>
    </row>
    <row r="610" spans="1:16" ht="41.25">
      <c r="A610" s="232" t="s">
        <v>103</v>
      </c>
      <c r="B610" s="187" t="s">
        <v>102</v>
      </c>
      <c r="C610" s="33" t="s">
        <v>274</v>
      </c>
      <c r="D610" s="33" t="s">
        <v>251</v>
      </c>
      <c r="E610" s="33" t="s">
        <v>218</v>
      </c>
      <c r="F610" s="46">
        <f t="shared" si="58"/>
        <v>0</v>
      </c>
      <c r="G610" s="46"/>
      <c r="H610" s="46"/>
      <c r="I610" s="48">
        <f t="shared" si="59"/>
        <v>0</v>
      </c>
      <c r="J610" s="48"/>
      <c r="K610" s="273"/>
      <c r="L610" s="39">
        <f t="shared" si="60"/>
        <v>0</v>
      </c>
      <c r="M610" s="39"/>
      <c r="N610" s="39"/>
      <c r="O610" s="25"/>
      <c r="P610" s="25"/>
    </row>
    <row r="611" spans="1:16" ht="41.25">
      <c r="A611" s="259" t="s">
        <v>105</v>
      </c>
      <c r="B611" s="187" t="s">
        <v>104</v>
      </c>
      <c r="C611" s="33" t="s">
        <v>237</v>
      </c>
      <c r="D611" s="33" t="s">
        <v>325</v>
      </c>
      <c r="E611" s="33" t="s">
        <v>219</v>
      </c>
      <c r="F611" s="46">
        <f t="shared" si="58"/>
        <v>0</v>
      </c>
      <c r="G611" s="46"/>
      <c r="H611" s="46"/>
      <c r="I611" s="48">
        <f t="shared" si="59"/>
        <v>0</v>
      </c>
      <c r="J611" s="48"/>
      <c r="K611" s="273"/>
      <c r="L611" s="39">
        <f t="shared" si="60"/>
        <v>0</v>
      </c>
      <c r="M611" s="39"/>
      <c r="N611" s="39"/>
      <c r="O611" s="25"/>
      <c r="P611" s="25"/>
    </row>
    <row r="612" spans="1:16" ht="41.25">
      <c r="A612" s="259" t="s">
        <v>105</v>
      </c>
      <c r="B612" s="187" t="s">
        <v>104</v>
      </c>
      <c r="C612" s="33" t="s">
        <v>238</v>
      </c>
      <c r="D612" s="33" t="s">
        <v>325</v>
      </c>
      <c r="E612" s="33" t="s">
        <v>219</v>
      </c>
      <c r="F612" s="46">
        <f t="shared" si="58"/>
        <v>0</v>
      </c>
      <c r="G612" s="46"/>
      <c r="H612" s="46"/>
      <c r="I612" s="48">
        <f t="shared" si="59"/>
        <v>0</v>
      </c>
      <c r="J612" s="48"/>
      <c r="K612" s="273"/>
      <c r="L612" s="39">
        <f t="shared" si="60"/>
        <v>0</v>
      </c>
      <c r="M612" s="39"/>
      <c r="N612" s="39"/>
      <c r="O612" s="25"/>
      <c r="P612" s="25"/>
    </row>
    <row r="613" spans="1:16" ht="41.25">
      <c r="A613" s="259" t="s">
        <v>105</v>
      </c>
      <c r="B613" s="187" t="s">
        <v>104</v>
      </c>
      <c r="C613" s="33" t="s">
        <v>274</v>
      </c>
      <c r="D613" s="33" t="s">
        <v>325</v>
      </c>
      <c r="E613" s="33" t="s">
        <v>219</v>
      </c>
      <c r="F613" s="46">
        <f t="shared" si="58"/>
        <v>0</v>
      </c>
      <c r="G613" s="46"/>
      <c r="H613" s="46"/>
      <c r="I613" s="48">
        <f t="shared" si="59"/>
        <v>0</v>
      </c>
      <c r="J613" s="48"/>
      <c r="K613" s="273"/>
      <c r="L613" s="39">
        <f t="shared" si="60"/>
        <v>0</v>
      </c>
      <c r="M613" s="39"/>
      <c r="N613" s="39"/>
      <c r="O613" s="25"/>
      <c r="P613" s="25"/>
    </row>
    <row r="614" spans="1:16" ht="41.25">
      <c r="A614" s="107" t="s">
        <v>785</v>
      </c>
      <c r="B614" s="187" t="s">
        <v>784</v>
      </c>
      <c r="C614" s="33" t="s">
        <v>238</v>
      </c>
      <c r="D614" s="33" t="s">
        <v>240</v>
      </c>
      <c r="E614" s="33" t="s">
        <v>294</v>
      </c>
      <c r="F614" s="46">
        <f>SUM(G614:H614)</f>
        <v>0</v>
      </c>
      <c r="G614" s="51"/>
      <c r="H614" s="46"/>
      <c r="I614" s="88">
        <f>SUM(J614:K614)</f>
        <v>0</v>
      </c>
      <c r="J614" s="88"/>
      <c r="K614" s="88"/>
      <c r="L614" s="89">
        <f>SUM(M614:N614)</f>
        <v>0</v>
      </c>
      <c r="M614" s="89"/>
      <c r="N614" s="89"/>
      <c r="O614" s="25"/>
      <c r="P614" s="25"/>
    </row>
    <row r="615" spans="1:16" ht="13.5">
      <c r="A615" s="106" t="s">
        <v>786</v>
      </c>
      <c r="B615" s="183"/>
      <c r="C615" s="42"/>
      <c r="D615" s="42"/>
      <c r="E615" s="42"/>
      <c r="F615" s="73">
        <f>SUM(G615:H615)</f>
        <v>9758048</v>
      </c>
      <c r="G615" s="95">
        <f>SUM(G9,G31,G88,G128,G158,G251,G388,G433,G461,G486,G510,G536,G548)</f>
        <v>5024375</v>
      </c>
      <c r="H615" s="95">
        <f>SUM(H9,H31,H88,H128,H158,H251,H388,H433,H461,H486,H510,H536,H548)</f>
        <v>4733673</v>
      </c>
      <c r="I615" s="91">
        <f>SUM(J615:K615)</f>
        <v>9712825</v>
      </c>
      <c r="J615" s="96">
        <f>SUM(J9,J31,J88,J128,J158,J251,J388,J433,J461,J486,J510,J536,J548)</f>
        <v>4780721</v>
      </c>
      <c r="K615" s="96">
        <f>SUM(K9,K31,K88,K128,K158,K251,K388,K433,K461,K486,K510,K536,K548)</f>
        <v>4932104</v>
      </c>
      <c r="L615" s="92">
        <f>SUM(M615:N615)</f>
        <v>9921018</v>
      </c>
      <c r="M615" s="97">
        <f>SUM(M9,M31,M88,M128,M158,M251,M388,M433,M461,M486,M510,M536,M548)</f>
        <v>4767608</v>
      </c>
      <c r="N615" s="97">
        <f>SUM(N9,N31,N88,N128,N158,N251,N388,N433,N461,N486,N510,N536,N548)</f>
        <v>5153410</v>
      </c>
      <c r="O615" s="25"/>
      <c r="P615" s="25"/>
    </row>
    <row r="616" spans="1:16" ht="12.75">
      <c r="A616" s="25"/>
      <c r="B616" s="212"/>
      <c r="C616" s="25"/>
      <c r="D616" s="25"/>
      <c r="E616" s="25"/>
      <c r="F616" s="25"/>
      <c r="G616" s="27"/>
      <c r="H616" s="27"/>
      <c r="I616" s="25"/>
      <c r="J616" s="27"/>
      <c r="K616" s="27"/>
      <c r="L616" s="25"/>
      <c r="M616" s="27"/>
      <c r="N616" s="27"/>
      <c r="O616" s="25"/>
      <c r="P616" s="25"/>
    </row>
    <row r="617" spans="1:16" ht="12.75">
      <c r="A617" s="25"/>
      <c r="B617" s="212"/>
      <c r="C617" s="25"/>
      <c r="D617" s="25"/>
      <c r="E617" s="25"/>
      <c r="F617" s="25"/>
      <c r="G617" s="27"/>
      <c r="H617" s="27"/>
      <c r="I617" s="25"/>
      <c r="J617" s="27"/>
      <c r="K617" s="27"/>
      <c r="L617" s="25"/>
      <c r="M617" s="27"/>
      <c r="N617" s="27"/>
      <c r="O617" s="25"/>
      <c r="P617" s="25"/>
    </row>
    <row r="618" spans="1:16" ht="12.75">
      <c r="A618" s="25"/>
      <c r="B618" s="212"/>
      <c r="C618" s="25"/>
      <c r="D618" s="25"/>
      <c r="E618" s="25"/>
      <c r="F618" s="25"/>
      <c r="G618" s="27"/>
      <c r="H618" s="27"/>
      <c r="I618" s="25"/>
      <c r="J618" s="27"/>
      <c r="K618" s="27"/>
      <c r="L618" s="25"/>
      <c r="M618" s="27"/>
      <c r="N618" s="27"/>
      <c r="O618" s="25"/>
      <c r="P618" s="25"/>
    </row>
    <row r="619" spans="1:16" ht="12.75">
      <c r="A619" s="25"/>
      <c r="B619" s="212"/>
      <c r="C619" s="25"/>
      <c r="D619" s="25"/>
      <c r="E619" s="25"/>
      <c r="F619" s="25"/>
      <c r="G619" s="27"/>
      <c r="H619" s="27"/>
      <c r="I619" s="25"/>
      <c r="J619" s="27"/>
      <c r="K619" s="27"/>
      <c r="L619" s="25"/>
      <c r="M619" s="27"/>
      <c r="N619" s="27"/>
      <c r="O619" s="25"/>
      <c r="P619" s="25"/>
    </row>
    <row r="620" spans="1:16" ht="12.75">
      <c r="A620" s="25"/>
      <c r="B620" s="212"/>
      <c r="C620" s="25"/>
      <c r="D620" s="25"/>
      <c r="E620" s="25"/>
      <c r="F620" s="25"/>
      <c r="G620" s="27"/>
      <c r="H620" s="27"/>
      <c r="I620" s="25"/>
      <c r="J620" s="27"/>
      <c r="K620" s="27"/>
      <c r="L620" s="25"/>
      <c r="M620" s="27"/>
      <c r="N620" s="27"/>
      <c r="O620" s="25"/>
      <c r="P620" s="25"/>
    </row>
    <row r="621" spans="1:16" ht="12.75">
      <c r="A621" s="25"/>
      <c r="B621" s="212"/>
      <c r="C621" s="25"/>
      <c r="D621" s="25"/>
      <c r="E621" s="25"/>
      <c r="F621" s="25"/>
      <c r="G621" s="27"/>
      <c r="H621" s="27"/>
      <c r="I621" s="25"/>
      <c r="J621" s="27"/>
      <c r="K621" s="27"/>
      <c r="L621" s="25"/>
      <c r="M621" s="27"/>
      <c r="N621" s="27"/>
      <c r="O621" s="25"/>
      <c r="P621" s="25"/>
    </row>
    <row r="622" spans="1:16" ht="12.75">
      <c r="A622" s="25"/>
      <c r="B622" s="212"/>
      <c r="C622" s="25"/>
      <c r="D622" s="25"/>
      <c r="E622" s="25"/>
      <c r="F622" s="25"/>
      <c r="G622" s="27"/>
      <c r="H622" s="27"/>
      <c r="I622" s="25"/>
      <c r="J622" s="27"/>
      <c r="K622" s="27"/>
      <c r="L622" s="25"/>
      <c r="M622" s="27"/>
      <c r="N622" s="27"/>
      <c r="O622" s="25"/>
      <c r="P622" s="25"/>
    </row>
    <row r="623" spans="1:16" ht="12.75">
      <c r="A623" s="25"/>
      <c r="B623" s="212"/>
      <c r="C623" s="25"/>
      <c r="D623" s="25"/>
      <c r="E623" s="25"/>
      <c r="F623" s="25"/>
      <c r="G623" s="27"/>
      <c r="H623" s="27"/>
      <c r="I623" s="25"/>
      <c r="J623" s="27"/>
      <c r="K623" s="27"/>
      <c r="L623" s="25"/>
      <c r="M623" s="27"/>
      <c r="N623" s="27"/>
      <c r="O623" s="25"/>
      <c r="P623" s="25"/>
    </row>
    <row r="624" spans="1:16" ht="12.75">
      <c r="A624" s="25"/>
      <c r="B624" s="212"/>
      <c r="C624" s="25"/>
      <c r="D624" s="25"/>
      <c r="E624" s="25"/>
      <c r="F624" s="25"/>
      <c r="G624" s="27"/>
      <c r="H624" s="27"/>
      <c r="I624" s="25"/>
      <c r="J624" s="27"/>
      <c r="K624" s="27"/>
      <c r="L624" s="25"/>
      <c r="M624" s="27"/>
      <c r="N624" s="27"/>
      <c r="O624" s="25"/>
      <c r="P624" s="25"/>
    </row>
    <row r="625" spans="1:16" ht="12.75">
      <c r="A625" s="25"/>
      <c r="B625" s="212"/>
      <c r="C625" s="25"/>
      <c r="D625" s="25"/>
      <c r="E625" s="25"/>
      <c r="F625" s="25"/>
      <c r="G625" s="27"/>
      <c r="H625" s="27"/>
      <c r="I625" s="25"/>
      <c r="J625" s="27"/>
      <c r="K625" s="27"/>
      <c r="L625" s="25"/>
      <c r="M625" s="27"/>
      <c r="N625" s="27"/>
      <c r="O625" s="25"/>
      <c r="P625" s="25"/>
    </row>
    <row r="626" spans="1:16" ht="12.75">
      <c r="A626" s="25"/>
      <c r="B626" s="212"/>
      <c r="C626" s="25"/>
      <c r="D626" s="25"/>
      <c r="E626" s="25"/>
      <c r="F626" s="25"/>
      <c r="G626" s="27"/>
      <c r="H626" s="27"/>
      <c r="I626" s="25"/>
      <c r="J626" s="27"/>
      <c r="K626" s="27"/>
      <c r="L626" s="25"/>
      <c r="M626" s="27"/>
      <c r="N626" s="27"/>
      <c r="O626" s="25"/>
      <c r="P626" s="25"/>
    </row>
    <row r="627" spans="1:16" ht="12.75">
      <c r="A627" s="25"/>
      <c r="B627" s="212"/>
      <c r="C627" s="25"/>
      <c r="D627" s="25"/>
      <c r="E627" s="25"/>
      <c r="F627" s="25"/>
      <c r="G627" s="27"/>
      <c r="H627" s="27"/>
      <c r="I627" s="25"/>
      <c r="J627" s="27"/>
      <c r="K627" s="27"/>
      <c r="L627" s="25"/>
      <c r="M627" s="27"/>
      <c r="N627" s="27"/>
      <c r="O627" s="25"/>
      <c r="P627" s="25"/>
    </row>
    <row r="628" spans="1:16" ht="12.75">
      <c r="A628" s="25"/>
      <c r="B628" s="212"/>
      <c r="C628" s="25"/>
      <c r="D628" s="25"/>
      <c r="E628" s="25"/>
      <c r="F628" s="25"/>
      <c r="G628" s="27"/>
      <c r="H628" s="27"/>
      <c r="I628" s="25"/>
      <c r="J628" s="27"/>
      <c r="K628" s="27"/>
      <c r="L628" s="25"/>
      <c r="M628" s="27"/>
      <c r="N628" s="27"/>
      <c r="O628" s="25"/>
      <c r="P628" s="25"/>
    </row>
    <row r="629" spans="1:16" ht="12.75">
      <c r="A629" s="25"/>
      <c r="B629" s="212"/>
      <c r="C629" s="25"/>
      <c r="D629" s="25"/>
      <c r="E629" s="25"/>
      <c r="F629" s="25"/>
      <c r="G629" s="27"/>
      <c r="H629" s="27"/>
      <c r="I629" s="25"/>
      <c r="J629" s="27"/>
      <c r="K629" s="27"/>
      <c r="L629" s="25"/>
      <c r="M629" s="27"/>
      <c r="N629" s="27"/>
      <c r="O629" s="25"/>
      <c r="P629" s="25"/>
    </row>
    <row r="630" spans="1:16" ht="12.75">
      <c r="A630" s="25"/>
      <c r="B630" s="212"/>
      <c r="C630" s="25"/>
      <c r="D630" s="25"/>
      <c r="E630" s="25"/>
      <c r="F630" s="25"/>
      <c r="G630" s="27"/>
      <c r="H630" s="27"/>
      <c r="I630" s="25"/>
      <c r="J630" s="27"/>
      <c r="K630" s="27"/>
      <c r="L630" s="25"/>
      <c r="M630" s="27"/>
      <c r="N630" s="27"/>
      <c r="O630" s="25"/>
      <c r="P630" s="25"/>
    </row>
    <row r="631" spans="1:16" ht="12.75">
      <c r="A631" s="25"/>
      <c r="B631" s="212"/>
      <c r="C631" s="25"/>
      <c r="D631" s="25"/>
      <c r="E631" s="25"/>
      <c r="F631" s="25"/>
      <c r="G631" s="27"/>
      <c r="H631" s="27"/>
      <c r="I631" s="25"/>
      <c r="J631" s="27"/>
      <c r="K631" s="27"/>
      <c r="L631" s="25"/>
      <c r="M631" s="27"/>
      <c r="N631" s="27"/>
      <c r="O631" s="25"/>
      <c r="P631" s="25"/>
    </row>
    <row r="632" spans="1:16" ht="12.75">
      <c r="A632" s="25"/>
      <c r="B632" s="212"/>
      <c r="C632" s="25"/>
      <c r="D632" s="25"/>
      <c r="E632" s="25"/>
      <c r="F632" s="25"/>
      <c r="G632" s="27"/>
      <c r="H632" s="27"/>
      <c r="I632" s="25"/>
      <c r="J632" s="27"/>
      <c r="K632" s="27"/>
      <c r="L632" s="25"/>
      <c r="M632" s="27"/>
      <c r="N632" s="27"/>
      <c r="O632" s="25"/>
      <c r="P632" s="25"/>
    </row>
    <row r="633" spans="1:16" ht="12.75">
      <c r="A633" s="25"/>
      <c r="B633" s="212"/>
      <c r="C633" s="25"/>
      <c r="D633" s="25"/>
      <c r="E633" s="25"/>
      <c r="F633" s="25"/>
      <c r="G633" s="27"/>
      <c r="H633" s="27"/>
      <c r="I633" s="25"/>
      <c r="J633" s="27"/>
      <c r="K633" s="27"/>
      <c r="L633" s="25"/>
      <c r="M633" s="27"/>
      <c r="N633" s="27"/>
      <c r="O633" s="25"/>
      <c r="P633" s="25"/>
    </row>
    <row r="634" spans="1:16" ht="12.75">
      <c r="A634" s="25"/>
      <c r="B634" s="212"/>
      <c r="C634" s="25"/>
      <c r="D634" s="25"/>
      <c r="E634" s="25"/>
      <c r="F634" s="25"/>
      <c r="G634" s="27"/>
      <c r="H634" s="27"/>
      <c r="I634" s="25"/>
      <c r="J634" s="27"/>
      <c r="K634" s="27"/>
      <c r="L634" s="25"/>
      <c r="M634" s="27"/>
      <c r="N634" s="27"/>
      <c r="O634" s="25"/>
      <c r="P634" s="25"/>
    </row>
    <row r="635" spans="1:16" ht="12.75">
      <c r="A635" s="25"/>
      <c r="B635" s="212"/>
      <c r="C635" s="25"/>
      <c r="D635" s="25"/>
      <c r="E635" s="25"/>
      <c r="F635" s="25"/>
      <c r="G635" s="27"/>
      <c r="H635" s="27"/>
      <c r="I635" s="25"/>
      <c r="J635" s="27"/>
      <c r="K635" s="27"/>
      <c r="L635" s="25"/>
      <c r="M635" s="27"/>
      <c r="N635" s="27"/>
      <c r="O635" s="25"/>
      <c r="P635" s="25"/>
    </row>
    <row r="636" spans="1:16" ht="12.75">
      <c r="A636" s="25"/>
      <c r="B636" s="212"/>
      <c r="C636" s="25"/>
      <c r="D636" s="25"/>
      <c r="E636" s="25"/>
      <c r="F636" s="25"/>
      <c r="G636" s="27"/>
      <c r="H636" s="27"/>
      <c r="I636" s="25"/>
      <c r="J636" s="27"/>
      <c r="K636" s="27"/>
      <c r="L636" s="25"/>
      <c r="M636" s="27"/>
      <c r="N636" s="27"/>
      <c r="O636" s="25"/>
      <c r="P636" s="25"/>
    </row>
    <row r="637" spans="1:16" ht="12.75">
      <c r="A637" s="25"/>
      <c r="B637" s="212"/>
      <c r="C637" s="25"/>
      <c r="D637" s="25"/>
      <c r="E637" s="25"/>
      <c r="F637" s="25"/>
      <c r="G637" s="27"/>
      <c r="H637" s="27"/>
      <c r="I637" s="25"/>
      <c r="J637" s="27"/>
      <c r="K637" s="27"/>
      <c r="L637" s="25"/>
      <c r="M637" s="27"/>
      <c r="N637" s="27"/>
      <c r="O637" s="25"/>
      <c r="P637" s="25"/>
    </row>
    <row r="638" spans="1:16" ht="12.75">
      <c r="A638" s="25"/>
      <c r="B638" s="212"/>
      <c r="C638" s="25"/>
      <c r="D638" s="25"/>
      <c r="E638" s="25"/>
      <c r="F638" s="25"/>
      <c r="G638" s="27"/>
      <c r="H638" s="27"/>
      <c r="I638" s="25"/>
      <c r="J638" s="27"/>
      <c r="K638" s="27"/>
      <c r="L638" s="25"/>
      <c r="M638" s="27"/>
      <c r="N638" s="27"/>
      <c r="O638" s="25"/>
      <c r="P638" s="25"/>
    </row>
    <row r="639" spans="1:16" ht="12.75">
      <c r="A639" s="25"/>
      <c r="B639" s="212"/>
      <c r="C639" s="25"/>
      <c r="D639" s="25"/>
      <c r="E639" s="25"/>
      <c r="F639" s="25"/>
      <c r="G639" s="27"/>
      <c r="H639" s="27"/>
      <c r="I639" s="25"/>
      <c r="J639" s="27"/>
      <c r="K639" s="27"/>
      <c r="L639" s="25"/>
      <c r="M639" s="27"/>
      <c r="N639" s="27"/>
      <c r="O639" s="25"/>
      <c r="P639" s="25"/>
    </row>
    <row r="640" spans="1:16" ht="12.75">
      <c r="A640" s="25"/>
      <c r="B640" s="212"/>
      <c r="C640" s="25"/>
      <c r="D640" s="25"/>
      <c r="E640" s="25"/>
      <c r="F640" s="25"/>
      <c r="G640" s="27"/>
      <c r="H640" s="27"/>
      <c r="I640" s="25"/>
      <c r="J640" s="27"/>
      <c r="K640" s="27"/>
      <c r="L640" s="25"/>
      <c r="M640" s="27"/>
      <c r="N640" s="27"/>
      <c r="O640" s="25"/>
      <c r="P640" s="25"/>
    </row>
    <row r="641" spans="1:16" ht="12.75">
      <c r="A641" s="25"/>
      <c r="B641" s="212"/>
      <c r="C641" s="25"/>
      <c r="D641" s="25"/>
      <c r="E641" s="25"/>
      <c r="F641" s="25"/>
      <c r="G641" s="27"/>
      <c r="H641" s="27"/>
      <c r="I641" s="25"/>
      <c r="J641" s="27"/>
      <c r="K641" s="27"/>
      <c r="L641" s="25"/>
      <c r="M641" s="27"/>
      <c r="N641" s="27"/>
      <c r="O641" s="25"/>
      <c r="P641" s="25"/>
    </row>
    <row r="642" spans="1:16" ht="12.75">
      <c r="A642" s="25"/>
      <c r="B642" s="212"/>
      <c r="C642" s="25"/>
      <c r="D642" s="25"/>
      <c r="E642" s="25"/>
      <c r="F642" s="25"/>
      <c r="G642" s="27"/>
      <c r="H642" s="27"/>
      <c r="I642" s="25"/>
      <c r="J642" s="27"/>
      <c r="K642" s="27"/>
      <c r="L642" s="25"/>
      <c r="M642" s="27"/>
      <c r="N642" s="27"/>
      <c r="O642" s="25"/>
      <c r="P642" s="25"/>
    </row>
    <row r="643" spans="1:16" ht="12.75">
      <c r="A643" s="25"/>
      <c r="B643" s="212"/>
      <c r="C643" s="25"/>
      <c r="D643" s="25"/>
      <c r="E643" s="25"/>
      <c r="F643" s="25"/>
      <c r="G643" s="27"/>
      <c r="H643" s="27"/>
      <c r="I643" s="25"/>
      <c r="J643" s="27"/>
      <c r="K643" s="27"/>
      <c r="L643" s="25"/>
      <c r="M643" s="27"/>
      <c r="N643" s="27"/>
      <c r="O643" s="25"/>
      <c r="P643" s="25"/>
    </row>
    <row r="644" spans="1:16" ht="12.75">
      <c r="A644" s="25"/>
      <c r="B644" s="212"/>
      <c r="C644" s="25"/>
      <c r="D644" s="25"/>
      <c r="E644" s="25"/>
      <c r="F644" s="25"/>
      <c r="G644" s="27"/>
      <c r="H644" s="27"/>
      <c r="I644" s="25"/>
      <c r="J644" s="27"/>
      <c r="K644" s="27"/>
      <c r="L644" s="25"/>
      <c r="M644" s="27"/>
      <c r="N644" s="27"/>
      <c r="O644" s="25"/>
      <c r="P644" s="25"/>
    </row>
    <row r="645" spans="1:16" ht="12.75">
      <c r="A645" s="25"/>
      <c r="B645" s="212"/>
      <c r="C645" s="25"/>
      <c r="D645" s="25"/>
      <c r="E645" s="25"/>
      <c r="F645" s="25"/>
      <c r="G645" s="27"/>
      <c r="H645" s="27"/>
      <c r="I645" s="25"/>
      <c r="J645" s="27"/>
      <c r="K645" s="27"/>
      <c r="L645" s="25"/>
      <c r="M645" s="27"/>
      <c r="N645" s="27"/>
      <c r="O645" s="25"/>
      <c r="P645" s="25"/>
    </row>
    <row r="646" spans="1:16" ht="12.75">
      <c r="A646" s="25"/>
      <c r="B646" s="212"/>
      <c r="C646" s="25"/>
      <c r="D646" s="25"/>
      <c r="E646" s="25"/>
      <c r="F646" s="25"/>
      <c r="G646" s="27"/>
      <c r="H646" s="27"/>
      <c r="I646" s="25"/>
      <c r="J646" s="27"/>
      <c r="K646" s="27"/>
      <c r="L646" s="25"/>
      <c r="M646" s="27"/>
      <c r="N646" s="27"/>
      <c r="O646" s="25"/>
      <c r="P646" s="25"/>
    </row>
    <row r="647" spans="1:16" ht="12.75">
      <c r="A647" s="25"/>
      <c r="B647" s="212"/>
      <c r="C647" s="25"/>
      <c r="D647" s="25"/>
      <c r="E647" s="25"/>
      <c r="F647" s="25"/>
      <c r="G647" s="27"/>
      <c r="H647" s="27"/>
      <c r="I647" s="25"/>
      <c r="J647" s="27"/>
      <c r="K647" s="27"/>
      <c r="L647" s="25"/>
      <c r="M647" s="27"/>
      <c r="N647" s="27"/>
      <c r="O647" s="25"/>
      <c r="P647" s="25"/>
    </row>
    <row r="648" spans="1:16" ht="12.75">
      <c r="A648" s="25"/>
      <c r="B648" s="212"/>
      <c r="C648" s="25"/>
      <c r="D648" s="25"/>
      <c r="E648" s="25"/>
      <c r="F648" s="25"/>
      <c r="G648" s="27"/>
      <c r="H648" s="27"/>
      <c r="I648" s="25"/>
      <c r="J648" s="27"/>
      <c r="K648" s="27"/>
      <c r="L648" s="25"/>
      <c r="M648" s="27"/>
      <c r="N648" s="27"/>
      <c r="O648" s="25"/>
      <c r="P648" s="25"/>
    </row>
    <row r="649" spans="1:16" ht="12.75">
      <c r="A649" s="25"/>
      <c r="B649" s="212"/>
      <c r="C649" s="25"/>
      <c r="D649" s="25"/>
      <c r="E649" s="25"/>
      <c r="F649" s="25"/>
      <c r="G649" s="27"/>
      <c r="H649" s="27"/>
      <c r="I649" s="25"/>
      <c r="J649" s="27"/>
      <c r="K649" s="27"/>
      <c r="L649" s="25"/>
      <c r="M649" s="27"/>
      <c r="N649" s="27"/>
      <c r="O649" s="25"/>
      <c r="P649" s="25"/>
    </row>
    <row r="650" spans="1:16" ht="12.75">
      <c r="A650" s="25"/>
      <c r="B650" s="212"/>
      <c r="C650" s="25"/>
      <c r="D650" s="25"/>
      <c r="E650" s="25"/>
      <c r="F650" s="25"/>
      <c r="G650" s="27"/>
      <c r="H650" s="27"/>
      <c r="I650" s="25"/>
      <c r="J650" s="27"/>
      <c r="K650" s="27"/>
      <c r="L650" s="25"/>
      <c r="M650" s="27"/>
      <c r="N650" s="27"/>
      <c r="O650" s="25"/>
      <c r="P650" s="25"/>
    </row>
    <row r="651" spans="1:16" ht="12.75">
      <c r="A651" s="25"/>
      <c r="B651" s="212"/>
      <c r="C651" s="25"/>
      <c r="D651" s="25"/>
      <c r="E651" s="25"/>
      <c r="F651" s="25"/>
      <c r="G651" s="27"/>
      <c r="H651" s="27"/>
      <c r="I651" s="25"/>
      <c r="J651" s="27"/>
      <c r="K651" s="27"/>
      <c r="L651" s="25"/>
      <c r="M651" s="27"/>
      <c r="N651" s="27"/>
      <c r="O651" s="25"/>
      <c r="P651" s="25"/>
    </row>
    <row r="652" spans="1:16" ht="12.75">
      <c r="A652" s="25"/>
      <c r="B652" s="212"/>
      <c r="C652" s="25"/>
      <c r="D652" s="25"/>
      <c r="E652" s="25"/>
      <c r="F652" s="25"/>
      <c r="G652" s="27"/>
      <c r="H652" s="27"/>
      <c r="I652" s="25"/>
      <c r="J652" s="27"/>
      <c r="K652" s="27"/>
      <c r="L652" s="25"/>
      <c r="M652" s="27"/>
      <c r="N652" s="27"/>
      <c r="O652" s="25"/>
      <c r="P652" s="25"/>
    </row>
    <row r="653" spans="1:16" ht="12.75">
      <c r="A653" s="25"/>
      <c r="B653" s="212"/>
      <c r="C653" s="25"/>
      <c r="D653" s="25"/>
      <c r="E653" s="25"/>
      <c r="F653" s="25"/>
      <c r="G653" s="27"/>
      <c r="H653" s="27"/>
      <c r="I653" s="25"/>
      <c r="J653" s="27"/>
      <c r="K653" s="27"/>
      <c r="L653" s="25"/>
      <c r="M653" s="27"/>
      <c r="N653" s="27"/>
      <c r="O653" s="25"/>
      <c r="P653" s="25"/>
    </row>
    <row r="654" spans="1:16" ht="12.75">
      <c r="A654" s="25"/>
      <c r="B654" s="212"/>
      <c r="C654" s="25"/>
      <c r="D654" s="25"/>
      <c r="E654" s="25"/>
      <c r="F654" s="25"/>
      <c r="G654" s="27"/>
      <c r="H654" s="27"/>
      <c r="I654" s="25"/>
      <c r="J654" s="27"/>
      <c r="K654" s="27"/>
      <c r="L654" s="25"/>
      <c r="M654" s="27"/>
      <c r="N654" s="27"/>
      <c r="O654" s="25"/>
      <c r="P654" s="25"/>
    </row>
    <row r="655" spans="1:16" ht="12.75">
      <c r="A655" s="25"/>
      <c r="B655" s="212"/>
      <c r="C655" s="25"/>
      <c r="D655" s="25"/>
      <c r="E655" s="25"/>
      <c r="F655" s="25"/>
      <c r="G655" s="27"/>
      <c r="H655" s="27"/>
      <c r="I655" s="25"/>
      <c r="J655" s="27"/>
      <c r="K655" s="27"/>
      <c r="L655" s="25"/>
      <c r="M655" s="27"/>
      <c r="N655" s="27"/>
      <c r="O655" s="25"/>
      <c r="P655" s="25"/>
    </row>
    <row r="656" spans="1:16" ht="12.75">
      <c r="A656" s="25"/>
      <c r="B656" s="212"/>
      <c r="C656" s="25"/>
      <c r="D656" s="25"/>
      <c r="E656" s="25"/>
      <c r="F656" s="25"/>
      <c r="G656" s="27"/>
      <c r="H656" s="27"/>
      <c r="I656" s="25"/>
      <c r="J656" s="27"/>
      <c r="K656" s="27"/>
      <c r="L656" s="25"/>
      <c r="M656" s="27"/>
      <c r="N656" s="27"/>
      <c r="O656" s="25"/>
      <c r="P656" s="25"/>
    </row>
    <row r="657" spans="1:16" ht="12.75">
      <c r="A657" s="25"/>
      <c r="B657" s="212"/>
      <c r="C657" s="25"/>
      <c r="D657" s="25"/>
      <c r="E657" s="25"/>
      <c r="F657" s="25"/>
      <c r="G657" s="27"/>
      <c r="H657" s="27"/>
      <c r="I657" s="25"/>
      <c r="J657" s="27"/>
      <c r="K657" s="27"/>
      <c r="L657" s="25"/>
      <c r="M657" s="27"/>
      <c r="N657" s="27"/>
      <c r="O657" s="25"/>
      <c r="P657" s="25"/>
    </row>
    <row r="658" spans="1:16" ht="12.75">
      <c r="A658" s="25"/>
      <c r="B658" s="212"/>
      <c r="C658" s="25"/>
      <c r="D658" s="25"/>
      <c r="E658" s="25"/>
      <c r="F658" s="25"/>
      <c r="G658" s="27"/>
      <c r="H658" s="27"/>
      <c r="I658" s="25"/>
      <c r="J658" s="27"/>
      <c r="K658" s="27"/>
      <c r="L658" s="25"/>
      <c r="M658" s="27"/>
      <c r="N658" s="27"/>
      <c r="O658" s="25"/>
      <c r="P658" s="25"/>
    </row>
    <row r="659" spans="1:16" ht="12.75">
      <c r="A659" s="25"/>
      <c r="B659" s="212"/>
      <c r="C659" s="25"/>
      <c r="D659" s="25"/>
      <c r="E659" s="25"/>
      <c r="F659" s="25"/>
      <c r="G659" s="27"/>
      <c r="H659" s="27"/>
      <c r="I659" s="25"/>
      <c r="J659" s="27"/>
      <c r="K659" s="27"/>
      <c r="L659" s="25"/>
      <c r="M659" s="27"/>
      <c r="N659" s="27"/>
      <c r="O659" s="25"/>
      <c r="P659" s="25"/>
    </row>
    <row r="660" spans="1:16" ht="12.75">
      <c r="A660" s="25"/>
      <c r="B660" s="212"/>
      <c r="C660" s="25"/>
      <c r="D660" s="25"/>
      <c r="E660" s="25"/>
      <c r="F660" s="25"/>
      <c r="G660" s="27"/>
      <c r="H660" s="27"/>
      <c r="I660" s="25"/>
      <c r="J660" s="27"/>
      <c r="K660" s="27"/>
      <c r="L660" s="25"/>
      <c r="M660" s="27"/>
      <c r="N660" s="27"/>
      <c r="O660" s="25"/>
      <c r="P660" s="25"/>
    </row>
    <row r="661" spans="1:16" ht="12.75">
      <c r="A661" s="25"/>
      <c r="B661" s="212"/>
      <c r="C661" s="25"/>
      <c r="D661" s="25"/>
      <c r="E661" s="25"/>
      <c r="F661" s="25"/>
      <c r="G661" s="27"/>
      <c r="H661" s="27"/>
      <c r="I661" s="25"/>
      <c r="J661" s="27"/>
      <c r="K661" s="27"/>
      <c r="L661" s="25"/>
      <c r="M661" s="27"/>
      <c r="N661" s="27"/>
      <c r="O661" s="25"/>
      <c r="P661" s="25"/>
    </row>
    <row r="662" spans="1:16" ht="12.75">
      <c r="A662" s="25"/>
      <c r="B662" s="212"/>
      <c r="C662" s="25"/>
      <c r="D662" s="25"/>
      <c r="E662" s="25"/>
      <c r="F662" s="25"/>
      <c r="G662" s="27"/>
      <c r="H662" s="27"/>
      <c r="I662" s="25"/>
      <c r="J662" s="27"/>
      <c r="K662" s="27"/>
      <c r="L662" s="25"/>
      <c r="M662" s="27"/>
      <c r="N662" s="27"/>
      <c r="O662" s="25"/>
      <c r="P662" s="25"/>
    </row>
    <row r="663" spans="1:16" ht="12.75">
      <c r="A663" s="25"/>
      <c r="B663" s="212"/>
      <c r="C663" s="25"/>
      <c r="D663" s="25"/>
      <c r="E663" s="25"/>
      <c r="F663" s="25"/>
      <c r="G663" s="27"/>
      <c r="H663" s="27"/>
      <c r="I663" s="25"/>
      <c r="J663" s="27"/>
      <c r="K663" s="27"/>
      <c r="L663" s="25"/>
      <c r="M663" s="27"/>
      <c r="N663" s="27"/>
      <c r="O663" s="25"/>
      <c r="P663" s="25"/>
    </row>
    <row r="664" spans="1:16" ht="12.75">
      <c r="A664" s="25"/>
      <c r="B664" s="212"/>
      <c r="C664" s="25"/>
      <c r="D664" s="25"/>
      <c r="E664" s="25"/>
      <c r="F664" s="25"/>
      <c r="G664" s="27"/>
      <c r="H664" s="27"/>
      <c r="I664" s="25"/>
      <c r="J664" s="27"/>
      <c r="K664" s="27"/>
      <c r="L664" s="25"/>
      <c r="M664" s="27"/>
      <c r="N664" s="27"/>
      <c r="O664" s="25"/>
      <c r="P664" s="25"/>
    </row>
    <row r="665" spans="1:16" ht="12.75">
      <c r="A665" s="25"/>
      <c r="B665" s="212"/>
      <c r="C665" s="25"/>
      <c r="D665" s="25"/>
      <c r="E665" s="25"/>
      <c r="F665" s="25"/>
      <c r="G665" s="27"/>
      <c r="H665" s="27"/>
      <c r="I665" s="25"/>
      <c r="J665" s="27"/>
      <c r="K665" s="27"/>
      <c r="L665" s="25"/>
      <c r="M665" s="27"/>
      <c r="N665" s="27"/>
      <c r="O665" s="25"/>
      <c r="P665" s="25"/>
    </row>
    <row r="666" spans="1:16" ht="12.75">
      <c r="A666" s="25"/>
      <c r="B666" s="212"/>
      <c r="C666" s="25"/>
      <c r="D666" s="25"/>
      <c r="E666" s="25"/>
      <c r="F666" s="25"/>
      <c r="G666" s="27"/>
      <c r="H666" s="27"/>
      <c r="I666" s="25"/>
      <c r="J666" s="27"/>
      <c r="K666" s="27"/>
      <c r="L666" s="25"/>
      <c r="M666" s="27"/>
      <c r="N666" s="27"/>
      <c r="O666" s="25"/>
      <c r="P666" s="25"/>
    </row>
    <row r="667" spans="1:16" ht="12.75">
      <c r="A667" s="25"/>
      <c r="B667" s="212"/>
      <c r="C667" s="25"/>
      <c r="D667" s="25"/>
      <c r="E667" s="25"/>
      <c r="F667" s="25"/>
      <c r="G667" s="27"/>
      <c r="H667" s="27"/>
      <c r="I667" s="25"/>
      <c r="J667" s="27"/>
      <c r="K667" s="27"/>
      <c r="L667" s="25"/>
      <c r="M667" s="27"/>
      <c r="N667" s="27"/>
      <c r="O667" s="25"/>
      <c r="P667" s="25"/>
    </row>
    <row r="668" spans="1:16" ht="12.75">
      <c r="A668" s="25"/>
      <c r="B668" s="212"/>
      <c r="C668" s="25"/>
      <c r="D668" s="25"/>
      <c r="E668" s="25"/>
      <c r="F668" s="25"/>
      <c r="G668" s="27"/>
      <c r="H668" s="27"/>
      <c r="I668" s="25"/>
      <c r="J668" s="27"/>
      <c r="K668" s="27"/>
      <c r="L668" s="25"/>
      <c r="M668" s="27"/>
      <c r="N668" s="27"/>
      <c r="O668" s="25"/>
      <c r="P668" s="25"/>
    </row>
    <row r="669" spans="1:16" ht="12.75">
      <c r="A669" s="25"/>
      <c r="B669" s="212"/>
      <c r="C669" s="25"/>
      <c r="D669" s="25"/>
      <c r="E669" s="25"/>
      <c r="F669" s="25"/>
      <c r="G669" s="27"/>
      <c r="H669" s="27"/>
      <c r="I669" s="25"/>
      <c r="J669" s="27"/>
      <c r="K669" s="27"/>
      <c r="L669" s="25"/>
      <c r="M669" s="27"/>
      <c r="N669" s="27"/>
      <c r="O669" s="25"/>
      <c r="P669" s="25"/>
    </row>
    <row r="670" spans="1:16" ht="12.75">
      <c r="A670" s="25"/>
      <c r="B670" s="212"/>
      <c r="C670" s="25"/>
      <c r="D670" s="25"/>
      <c r="E670" s="25"/>
      <c r="F670" s="25"/>
      <c r="G670" s="27"/>
      <c r="H670" s="27"/>
      <c r="I670" s="25"/>
      <c r="J670" s="27"/>
      <c r="K670" s="27"/>
      <c r="L670" s="25"/>
      <c r="M670" s="27"/>
      <c r="N670" s="27"/>
      <c r="O670" s="25"/>
      <c r="P670" s="25"/>
    </row>
    <row r="671" spans="1:16" ht="12.75">
      <c r="A671" s="25"/>
      <c r="B671" s="212"/>
      <c r="C671" s="25"/>
      <c r="D671" s="25"/>
      <c r="E671" s="25"/>
      <c r="F671" s="25"/>
      <c r="G671" s="27"/>
      <c r="H671" s="27"/>
      <c r="I671" s="25"/>
      <c r="J671" s="27"/>
      <c r="K671" s="27"/>
      <c r="L671" s="25"/>
      <c r="M671" s="27"/>
      <c r="N671" s="27"/>
      <c r="O671" s="25"/>
      <c r="P671" s="25"/>
    </row>
    <row r="672" spans="1:16" ht="12.75">
      <c r="A672" s="25"/>
      <c r="B672" s="212"/>
      <c r="C672" s="25"/>
      <c r="D672" s="25"/>
      <c r="E672" s="25"/>
      <c r="F672" s="25"/>
      <c r="G672" s="27"/>
      <c r="H672" s="27"/>
      <c r="I672" s="25"/>
      <c r="J672" s="27"/>
      <c r="K672" s="27"/>
      <c r="L672" s="25"/>
      <c r="M672" s="27"/>
      <c r="N672" s="27"/>
      <c r="O672" s="25"/>
      <c r="P672" s="25"/>
    </row>
    <row r="673" spans="1:16" ht="12.75">
      <c r="A673" s="25"/>
      <c r="B673" s="212"/>
      <c r="C673" s="25"/>
      <c r="D673" s="25"/>
      <c r="E673" s="25"/>
      <c r="F673" s="25"/>
      <c r="G673" s="27"/>
      <c r="H673" s="27"/>
      <c r="I673" s="25"/>
      <c r="J673" s="27"/>
      <c r="K673" s="27"/>
      <c r="L673" s="25"/>
      <c r="M673" s="27"/>
      <c r="N673" s="27"/>
      <c r="O673" s="25"/>
      <c r="P673" s="25"/>
    </row>
    <row r="674" spans="1:16" ht="12.75">
      <c r="A674" s="25"/>
      <c r="B674" s="212"/>
      <c r="C674" s="25"/>
      <c r="D674" s="25"/>
      <c r="E674" s="25"/>
      <c r="F674" s="25"/>
      <c r="G674" s="27"/>
      <c r="H674" s="27"/>
      <c r="I674" s="25"/>
      <c r="J674" s="27"/>
      <c r="K674" s="27"/>
      <c r="L674" s="25"/>
      <c r="M674" s="27"/>
      <c r="N674" s="27"/>
      <c r="O674" s="25"/>
      <c r="P674" s="25"/>
    </row>
    <row r="675" spans="1:16" ht="12.75">
      <c r="A675" s="25"/>
      <c r="B675" s="212"/>
      <c r="C675" s="25"/>
      <c r="D675" s="25"/>
      <c r="E675" s="25"/>
      <c r="F675" s="25"/>
      <c r="G675" s="27"/>
      <c r="H675" s="27"/>
      <c r="I675" s="25"/>
      <c r="J675" s="27"/>
      <c r="K675" s="27"/>
      <c r="L675" s="25"/>
      <c r="M675" s="27"/>
      <c r="N675" s="27"/>
      <c r="O675" s="25"/>
      <c r="P675" s="25"/>
    </row>
    <row r="676" spans="1:16" ht="12.75">
      <c r="A676" s="25"/>
      <c r="B676" s="212"/>
      <c r="C676" s="25"/>
      <c r="D676" s="25"/>
      <c r="E676" s="25"/>
      <c r="F676" s="25"/>
      <c r="G676" s="27"/>
      <c r="H676" s="27"/>
      <c r="I676" s="25"/>
      <c r="J676" s="27"/>
      <c r="K676" s="27"/>
      <c r="L676" s="25"/>
      <c r="M676" s="27"/>
      <c r="N676" s="27"/>
      <c r="O676" s="25"/>
      <c r="P676" s="25"/>
    </row>
    <row r="677" spans="1:16" ht="12.75">
      <c r="A677" s="25"/>
      <c r="B677" s="212"/>
      <c r="C677" s="25"/>
      <c r="D677" s="25"/>
      <c r="E677" s="25"/>
      <c r="F677" s="25"/>
      <c r="G677" s="27"/>
      <c r="H677" s="27"/>
      <c r="I677" s="25"/>
      <c r="J677" s="27"/>
      <c r="K677" s="27"/>
      <c r="L677" s="25"/>
      <c r="M677" s="27"/>
      <c r="N677" s="27"/>
      <c r="O677" s="25"/>
      <c r="P677" s="25"/>
    </row>
    <row r="678" spans="1:16" ht="12.75">
      <c r="A678" s="25"/>
      <c r="B678" s="212"/>
      <c r="C678" s="25"/>
      <c r="D678" s="25"/>
      <c r="E678" s="25"/>
      <c r="F678" s="25"/>
      <c r="G678" s="27"/>
      <c r="H678" s="27"/>
      <c r="I678" s="25"/>
      <c r="J678" s="27"/>
      <c r="K678" s="27"/>
      <c r="L678" s="25"/>
      <c r="M678" s="27"/>
      <c r="N678" s="27"/>
      <c r="O678" s="25"/>
      <c r="P678" s="25"/>
    </row>
    <row r="679" spans="1:16" ht="12.75">
      <c r="A679" s="25"/>
      <c r="B679" s="212"/>
      <c r="C679" s="25"/>
      <c r="D679" s="25"/>
      <c r="E679" s="25"/>
      <c r="F679" s="25"/>
      <c r="G679" s="27"/>
      <c r="H679" s="27"/>
      <c r="I679" s="25"/>
      <c r="J679" s="27"/>
      <c r="K679" s="27"/>
      <c r="L679" s="25"/>
      <c r="M679" s="27"/>
      <c r="N679" s="27"/>
      <c r="O679" s="25"/>
      <c r="P679" s="25"/>
    </row>
    <row r="680" spans="1:16" ht="12.75">
      <c r="A680" s="25"/>
      <c r="B680" s="212"/>
      <c r="C680" s="25"/>
      <c r="D680" s="25"/>
      <c r="E680" s="25"/>
      <c r="F680" s="25"/>
      <c r="G680" s="27"/>
      <c r="H680" s="27"/>
      <c r="I680" s="25"/>
      <c r="J680" s="27"/>
      <c r="K680" s="27"/>
      <c r="L680" s="25"/>
      <c r="M680" s="27"/>
      <c r="N680" s="27"/>
      <c r="O680" s="25"/>
      <c r="P680" s="25"/>
    </row>
    <row r="681" spans="1:16" ht="12.75">
      <c r="A681" s="25"/>
      <c r="B681" s="212"/>
      <c r="C681" s="25"/>
      <c r="D681" s="25"/>
      <c r="E681" s="25"/>
      <c r="F681" s="25"/>
      <c r="G681" s="27"/>
      <c r="H681" s="27"/>
      <c r="I681" s="25"/>
      <c r="J681" s="27"/>
      <c r="K681" s="27"/>
      <c r="L681" s="25"/>
      <c r="M681" s="27"/>
      <c r="N681" s="27"/>
      <c r="O681" s="25"/>
      <c r="P681" s="25"/>
    </row>
    <row r="682" spans="1:16" ht="12.75">
      <c r="A682" s="25"/>
      <c r="B682" s="212"/>
      <c r="C682" s="25"/>
      <c r="D682" s="25"/>
      <c r="E682" s="25"/>
      <c r="F682" s="25"/>
      <c r="G682" s="27"/>
      <c r="H682" s="27"/>
      <c r="I682" s="25"/>
      <c r="J682" s="27"/>
      <c r="K682" s="27"/>
      <c r="L682" s="25"/>
      <c r="M682" s="27"/>
      <c r="N682" s="27"/>
      <c r="O682" s="25"/>
      <c r="P682" s="25"/>
    </row>
    <row r="683" spans="1:16" ht="12.75">
      <c r="A683" s="25"/>
      <c r="B683" s="212"/>
      <c r="C683" s="25"/>
      <c r="D683" s="25"/>
      <c r="E683" s="25"/>
      <c r="F683" s="25"/>
      <c r="G683" s="27"/>
      <c r="H683" s="27"/>
      <c r="I683" s="25"/>
      <c r="J683" s="27"/>
      <c r="K683" s="27"/>
      <c r="L683" s="25"/>
      <c r="M683" s="27"/>
      <c r="N683" s="27"/>
      <c r="O683" s="25"/>
      <c r="P683" s="25"/>
    </row>
    <row r="684" spans="1:16" ht="12.75">
      <c r="A684" s="25"/>
      <c r="B684" s="212"/>
      <c r="C684" s="25"/>
      <c r="D684" s="25"/>
      <c r="E684" s="25"/>
      <c r="F684" s="25"/>
      <c r="G684" s="27"/>
      <c r="H684" s="27"/>
      <c r="I684" s="25"/>
      <c r="J684" s="27"/>
      <c r="K684" s="27"/>
      <c r="L684" s="25"/>
      <c r="M684" s="27"/>
      <c r="N684" s="27"/>
      <c r="O684" s="25"/>
      <c r="P684" s="25"/>
    </row>
    <row r="685" spans="1:16" ht="12.75">
      <c r="A685" s="25"/>
      <c r="B685" s="212"/>
      <c r="C685" s="25"/>
      <c r="D685" s="25"/>
      <c r="E685" s="25"/>
      <c r="F685" s="25"/>
      <c r="G685" s="27"/>
      <c r="H685" s="27"/>
      <c r="I685" s="25"/>
      <c r="J685" s="27"/>
      <c r="K685" s="27"/>
      <c r="L685" s="25"/>
      <c r="M685" s="27"/>
      <c r="N685" s="27"/>
      <c r="O685" s="25"/>
      <c r="P685" s="25"/>
    </row>
    <row r="686" spans="1:16" ht="12.75">
      <c r="A686" s="25"/>
      <c r="B686" s="212"/>
      <c r="C686" s="25"/>
      <c r="D686" s="25"/>
      <c r="E686" s="25"/>
      <c r="F686" s="25"/>
      <c r="G686" s="27"/>
      <c r="H686" s="27"/>
      <c r="I686" s="25"/>
      <c r="J686" s="27"/>
      <c r="K686" s="27"/>
      <c r="L686" s="25"/>
      <c r="M686" s="27"/>
      <c r="N686" s="27"/>
      <c r="O686" s="25"/>
      <c r="P686" s="25"/>
    </row>
    <row r="687" spans="1:16" ht="12.75">
      <c r="A687" s="25"/>
      <c r="B687" s="212"/>
      <c r="C687" s="25"/>
      <c r="D687" s="25"/>
      <c r="E687" s="25"/>
      <c r="F687" s="25"/>
      <c r="G687" s="27"/>
      <c r="H687" s="27"/>
      <c r="I687" s="25"/>
      <c r="J687" s="27"/>
      <c r="K687" s="27"/>
      <c r="L687" s="25"/>
      <c r="M687" s="27"/>
      <c r="N687" s="27"/>
      <c r="O687" s="25"/>
      <c r="P687" s="25"/>
    </row>
    <row r="688" spans="1:16" ht="12.75">
      <c r="A688" s="25"/>
      <c r="B688" s="212"/>
      <c r="C688" s="25"/>
      <c r="D688" s="25"/>
      <c r="E688" s="25"/>
      <c r="F688" s="25"/>
      <c r="G688" s="27"/>
      <c r="H688" s="27"/>
      <c r="I688" s="25"/>
      <c r="J688" s="27"/>
      <c r="K688" s="27"/>
      <c r="L688" s="25"/>
      <c r="M688" s="27"/>
      <c r="N688" s="27"/>
      <c r="O688" s="25"/>
      <c r="P688" s="25"/>
    </row>
    <row r="689" spans="1:16" ht="12.75">
      <c r="A689" s="25"/>
      <c r="B689" s="212"/>
      <c r="C689" s="25"/>
      <c r="D689" s="25"/>
      <c r="E689" s="25"/>
      <c r="F689" s="25"/>
      <c r="G689" s="27"/>
      <c r="H689" s="27"/>
      <c r="I689" s="25"/>
      <c r="J689" s="27"/>
      <c r="K689" s="27"/>
      <c r="L689" s="25"/>
      <c r="M689" s="27"/>
      <c r="N689" s="27"/>
      <c r="O689" s="25"/>
      <c r="P689" s="25"/>
    </row>
    <row r="690" spans="1:16" ht="12.75">
      <c r="A690" s="25"/>
      <c r="B690" s="212"/>
      <c r="C690" s="25"/>
      <c r="D690" s="25"/>
      <c r="E690" s="25"/>
      <c r="F690" s="25"/>
      <c r="G690" s="27"/>
      <c r="H690" s="27"/>
      <c r="I690" s="25"/>
      <c r="J690" s="27"/>
      <c r="K690" s="27"/>
      <c r="L690" s="25"/>
      <c r="M690" s="27"/>
      <c r="N690" s="27"/>
      <c r="O690" s="25"/>
      <c r="P690" s="25"/>
    </row>
    <row r="691" spans="1:16" ht="12.75">
      <c r="A691" s="25"/>
      <c r="B691" s="212"/>
      <c r="C691" s="25"/>
      <c r="D691" s="25"/>
      <c r="E691" s="25"/>
      <c r="F691" s="25"/>
      <c r="G691" s="27"/>
      <c r="H691" s="27"/>
      <c r="I691" s="25"/>
      <c r="J691" s="27"/>
      <c r="K691" s="27"/>
      <c r="L691" s="25"/>
      <c r="M691" s="27"/>
      <c r="N691" s="27"/>
      <c r="O691" s="25"/>
      <c r="P691" s="25"/>
    </row>
    <row r="692" spans="1:16" ht="12.75">
      <c r="A692" s="25"/>
      <c r="B692" s="212"/>
      <c r="C692" s="25"/>
      <c r="D692" s="25"/>
      <c r="E692" s="25"/>
      <c r="F692" s="25"/>
      <c r="G692" s="27"/>
      <c r="H692" s="27"/>
      <c r="I692" s="25"/>
      <c r="J692" s="27"/>
      <c r="K692" s="27"/>
      <c r="L692" s="25"/>
      <c r="M692" s="27"/>
      <c r="N692" s="27"/>
      <c r="O692" s="25"/>
      <c r="P692" s="25"/>
    </row>
    <row r="693" spans="1:16" ht="12.75">
      <c r="A693" s="25"/>
      <c r="B693" s="212"/>
      <c r="C693" s="25"/>
      <c r="D693" s="25"/>
      <c r="E693" s="25"/>
      <c r="F693" s="25"/>
      <c r="G693" s="27"/>
      <c r="H693" s="27"/>
      <c r="I693" s="25"/>
      <c r="J693" s="27"/>
      <c r="K693" s="27"/>
      <c r="L693" s="25"/>
      <c r="M693" s="27"/>
      <c r="N693" s="27"/>
      <c r="O693" s="25"/>
      <c r="P693" s="25"/>
    </row>
    <row r="694" spans="1:16" ht="12.75">
      <c r="A694" s="25"/>
      <c r="B694" s="212"/>
      <c r="C694" s="25"/>
      <c r="D694" s="25"/>
      <c r="E694" s="25"/>
      <c r="F694" s="25"/>
      <c r="G694" s="27"/>
      <c r="H694" s="27"/>
      <c r="I694" s="25"/>
      <c r="J694" s="27"/>
      <c r="K694" s="27"/>
      <c r="L694" s="25"/>
      <c r="M694" s="27"/>
      <c r="N694" s="27"/>
      <c r="O694" s="25"/>
      <c r="P694" s="25"/>
    </row>
    <row r="695" spans="1:16" ht="12.75">
      <c r="A695" s="25"/>
      <c r="B695" s="212"/>
      <c r="C695" s="25"/>
      <c r="D695" s="25"/>
      <c r="E695" s="25"/>
      <c r="F695" s="25"/>
      <c r="G695" s="27"/>
      <c r="H695" s="27"/>
      <c r="I695" s="25"/>
      <c r="J695" s="27"/>
      <c r="K695" s="27"/>
      <c r="L695" s="25"/>
      <c r="M695" s="27"/>
      <c r="N695" s="27"/>
      <c r="O695" s="25"/>
      <c r="P695" s="25"/>
    </row>
    <row r="696" spans="1:16" ht="12.75">
      <c r="A696" s="25"/>
      <c r="B696" s="212"/>
      <c r="C696" s="25"/>
      <c r="D696" s="25"/>
      <c r="E696" s="25"/>
      <c r="F696" s="25"/>
      <c r="G696" s="27"/>
      <c r="H696" s="27"/>
      <c r="I696" s="25"/>
      <c r="J696" s="27"/>
      <c r="K696" s="27"/>
      <c r="L696" s="25"/>
      <c r="M696" s="27"/>
      <c r="N696" s="27"/>
      <c r="O696" s="25"/>
      <c r="P696" s="25"/>
    </row>
    <row r="697" spans="1:16" ht="12.75">
      <c r="A697" s="25"/>
      <c r="B697" s="212"/>
      <c r="C697" s="25"/>
      <c r="D697" s="25"/>
      <c r="E697" s="25"/>
      <c r="F697" s="25"/>
      <c r="G697" s="27"/>
      <c r="H697" s="27"/>
      <c r="I697" s="25"/>
      <c r="J697" s="27"/>
      <c r="K697" s="27"/>
      <c r="L697" s="25"/>
      <c r="M697" s="27"/>
      <c r="N697" s="27"/>
      <c r="O697" s="25"/>
      <c r="P697" s="25"/>
    </row>
    <row r="698" spans="1:16" ht="12.75">
      <c r="A698" s="25"/>
      <c r="B698" s="212"/>
      <c r="C698" s="25"/>
      <c r="D698" s="25"/>
      <c r="E698" s="25"/>
      <c r="F698" s="25"/>
      <c r="G698" s="27"/>
      <c r="H698" s="27"/>
      <c r="I698" s="25"/>
      <c r="J698" s="27"/>
      <c r="K698" s="27"/>
      <c r="L698" s="25"/>
      <c r="M698" s="27"/>
      <c r="N698" s="27"/>
      <c r="O698" s="25"/>
      <c r="P698" s="25"/>
    </row>
    <row r="699" spans="1:16" ht="12.75">
      <c r="A699" s="25"/>
      <c r="B699" s="212"/>
      <c r="C699" s="25"/>
      <c r="D699" s="25"/>
      <c r="E699" s="25"/>
      <c r="F699" s="25"/>
      <c r="G699" s="27"/>
      <c r="H699" s="27"/>
      <c r="I699" s="25"/>
      <c r="J699" s="27"/>
      <c r="K699" s="27"/>
      <c r="L699" s="25"/>
      <c r="M699" s="27"/>
      <c r="N699" s="27"/>
      <c r="O699" s="25"/>
      <c r="P699" s="25"/>
    </row>
    <row r="700" spans="1:16" ht="12.75">
      <c r="A700" s="25"/>
      <c r="B700" s="212"/>
      <c r="C700" s="25"/>
      <c r="D700" s="25"/>
      <c r="E700" s="25"/>
      <c r="F700" s="25"/>
      <c r="G700" s="27"/>
      <c r="H700" s="27"/>
      <c r="I700" s="25"/>
      <c r="J700" s="27"/>
      <c r="K700" s="27"/>
      <c r="L700" s="25"/>
      <c r="M700" s="27"/>
      <c r="N700" s="27"/>
      <c r="O700" s="25"/>
      <c r="P700" s="25"/>
    </row>
    <row r="701" spans="1:16" ht="12.75">
      <c r="A701" s="25"/>
      <c r="B701" s="212"/>
      <c r="C701" s="25"/>
      <c r="D701" s="25"/>
      <c r="E701" s="25"/>
      <c r="F701" s="25"/>
      <c r="G701" s="27"/>
      <c r="H701" s="27"/>
      <c r="I701" s="25"/>
      <c r="J701" s="27"/>
      <c r="K701" s="27"/>
      <c r="L701" s="25"/>
      <c r="M701" s="27"/>
      <c r="N701" s="27"/>
      <c r="O701" s="25"/>
      <c r="P701" s="25"/>
    </row>
    <row r="702" spans="1:16" ht="12.75">
      <c r="A702" s="25"/>
      <c r="B702" s="212"/>
      <c r="C702" s="25"/>
      <c r="D702" s="25"/>
      <c r="E702" s="25"/>
      <c r="F702" s="25"/>
      <c r="G702" s="27"/>
      <c r="H702" s="27"/>
      <c r="I702" s="25"/>
      <c r="J702" s="27"/>
      <c r="K702" s="27"/>
      <c r="L702" s="25"/>
      <c r="M702" s="27"/>
      <c r="N702" s="27"/>
      <c r="O702" s="25"/>
      <c r="P702" s="25"/>
    </row>
    <row r="703" spans="1:16" ht="12.75">
      <c r="A703" s="25"/>
      <c r="B703" s="212"/>
      <c r="C703" s="25"/>
      <c r="D703" s="25"/>
      <c r="E703" s="25"/>
      <c r="F703" s="25"/>
      <c r="G703" s="27"/>
      <c r="H703" s="27"/>
      <c r="I703" s="25"/>
      <c r="J703" s="27"/>
      <c r="K703" s="27"/>
      <c r="L703" s="25"/>
      <c r="M703" s="27"/>
      <c r="N703" s="27"/>
      <c r="O703" s="25"/>
      <c r="P703" s="25"/>
    </row>
    <row r="704" spans="1:16" ht="12.75">
      <c r="A704" s="25"/>
      <c r="B704" s="212"/>
      <c r="C704" s="25"/>
      <c r="D704" s="25"/>
      <c r="E704" s="25"/>
      <c r="F704" s="25"/>
      <c r="G704" s="27"/>
      <c r="H704" s="27"/>
      <c r="I704" s="25"/>
      <c r="J704" s="27"/>
      <c r="K704" s="27"/>
      <c r="L704" s="25"/>
      <c r="M704" s="27"/>
      <c r="N704" s="27"/>
      <c r="O704" s="25"/>
      <c r="P704" s="25"/>
    </row>
    <row r="705" spans="1:16" ht="12.75">
      <c r="A705" s="25"/>
      <c r="B705" s="212"/>
      <c r="C705" s="25"/>
      <c r="D705" s="25"/>
      <c r="E705" s="25"/>
      <c r="F705" s="25"/>
      <c r="G705" s="27"/>
      <c r="H705" s="27"/>
      <c r="I705" s="25"/>
      <c r="J705" s="27"/>
      <c r="K705" s="27"/>
      <c r="L705" s="25"/>
      <c r="M705" s="27"/>
      <c r="N705" s="27"/>
      <c r="O705" s="25"/>
      <c r="P705" s="25"/>
    </row>
    <row r="706" spans="1:16" ht="12.75">
      <c r="A706" s="25"/>
      <c r="B706" s="212"/>
      <c r="C706" s="25"/>
      <c r="D706" s="25"/>
      <c r="E706" s="25"/>
      <c r="F706" s="25"/>
      <c r="G706" s="27"/>
      <c r="H706" s="27"/>
      <c r="I706" s="25"/>
      <c r="J706" s="27"/>
      <c r="K706" s="27"/>
      <c r="L706" s="25"/>
      <c r="M706" s="27"/>
      <c r="N706" s="27"/>
      <c r="O706" s="25"/>
      <c r="P706" s="25"/>
    </row>
    <row r="707" spans="1:16" ht="12.75">
      <c r="A707" s="25"/>
      <c r="B707" s="212"/>
      <c r="C707" s="25"/>
      <c r="D707" s="25"/>
      <c r="E707" s="25"/>
      <c r="F707" s="25"/>
      <c r="G707" s="27"/>
      <c r="H707" s="27"/>
      <c r="I707" s="25"/>
      <c r="J707" s="27"/>
      <c r="K707" s="27"/>
      <c r="L707" s="25"/>
      <c r="M707" s="27"/>
      <c r="N707" s="27"/>
      <c r="O707" s="25"/>
      <c r="P707" s="25"/>
    </row>
    <row r="708" spans="1:16" ht="12.75">
      <c r="A708" s="25"/>
      <c r="B708" s="212"/>
      <c r="C708" s="25"/>
      <c r="D708" s="25"/>
      <c r="E708" s="25"/>
      <c r="F708" s="25"/>
      <c r="G708" s="27"/>
      <c r="H708" s="27"/>
      <c r="I708" s="25"/>
      <c r="J708" s="27"/>
      <c r="K708" s="27"/>
      <c r="L708" s="25"/>
      <c r="M708" s="27"/>
      <c r="N708" s="27"/>
      <c r="O708" s="25"/>
      <c r="P708" s="25"/>
    </row>
    <row r="709" spans="1:16" ht="12.75">
      <c r="A709" s="25"/>
      <c r="B709" s="212"/>
      <c r="C709" s="25"/>
      <c r="D709" s="25"/>
      <c r="E709" s="25"/>
      <c r="F709" s="25"/>
      <c r="G709" s="27"/>
      <c r="H709" s="27"/>
      <c r="I709" s="25"/>
      <c r="J709" s="27"/>
      <c r="K709" s="27"/>
      <c r="L709" s="25"/>
      <c r="M709" s="27"/>
      <c r="N709" s="27"/>
      <c r="O709" s="25"/>
      <c r="P709" s="25"/>
    </row>
    <row r="710" spans="1:16" ht="12.75">
      <c r="A710" s="25"/>
      <c r="B710" s="212"/>
      <c r="C710" s="25"/>
      <c r="D710" s="25"/>
      <c r="E710" s="25"/>
      <c r="F710" s="25"/>
      <c r="G710" s="27"/>
      <c r="H710" s="27"/>
      <c r="I710" s="25"/>
      <c r="J710" s="27"/>
      <c r="K710" s="27"/>
      <c r="L710" s="25"/>
      <c r="M710" s="27"/>
      <c r="N710" s="27"/>
      <c r="O710" s="25"/>
      <c r="P710" s="25"/>
    </row>
    <row r="711" spans="1:16" ht="12.75">
      <c r="A711" s="25"/>
      <c r="B711" s="212"/>
      <c r="C711" s="25"/>
      <c r="D711" s="25"/>
      <c r="E711" s="25"/>
      <c r="F711" s="25"/>
      <c r="G711" s="27"/>
      <c r="H711" s="27"/>
      <c r="I711" s="25"/>
      <c r="J711" s="27"/>
      <c r="K711" s="27"/>
      <c r="L711" s="25"/>
      <c r="M711" s="27"/>
      <c r="N711" s="27"/>
      <c r="O711" s="25"/>
      <c r="P711" s="25"/>
    </row>
    <row r="712" spans="1:16" ht="12.75">
      <c r="A712" s="25"/>
      <c r="B712" s="212"/>
      <c r="C712" s="25"/>
      <c r="D712" s="25"/>
      <c r="E712" s="25"/>
      <c r="F712" s="25"/>
      <c r="G712" s="27"/>
      <c r="H712" s="27"/>
      <c r="I712" s="25"/>
      <c r="J712" s="27"/>
      <c r="K712" s="27"/>
      <c r="L712" s="25"/>
      <c r="M712" s="27"/>
      <c r="N712" s="27"/>
      <c r="O712" s="25"/>
      <c r="P712" s="25"/>
    </row>
    <row r="713" spans="1:16" ht="12.75">
      <c r="A713" s="25"/>
      <c r="B713" s="212"/>
      <c r="C713" s="25"/>
      <c r="D713" s="25"/>
      <c r="E713" s="25"/>
      <c r="F713" s="25"/>
      <c r="G713" s="27"/>
      <c r="H713" s="27"/>
      <c r="I713" s="25"/>
      <c r="J713" s="27"/>
      <c r="K713" s="27"/>
      <c r="L713" s="25"/>
      <c r="M713" s="27"/>
      <c r="N713" s="27"/>
      <c r="O713" s="25"/>
      <c r="P713" s="25"/>
    </row>
    <row r="714" spans="1:16" ht="12.75">
      <c r="A714" s="25"/>
      <c r="B714" s="212"/>
      <c r="C714" s="25"/>
      <c r="D714" s="25"/>
      <c r="E714" s="25"/>
      <c r="F714" s="25"/>
      <c r="G714" s="27"/>
      <c r="H714" s="27"/>
      <c r="I714" s="25"/>
      <c r="J714" s="27"/>
      <c r="K714" s="27"/>
      <c r="L714" s="25"/>
      <c r="M714" s="27"/>
      <c r="N714" s="27"/>
      <c r="O714" s="25"/>
      <c r="P714" s="25"/>
    </row>
    <row r="715" spans="1:16" ht="12.75">
      <c r="A715" s="25"/>
      <c r="B715" s="212"/>
      <c r="C715" s="25"/>
      <c r="D715" s="25"/>
      <c r="E715" s="25"/>
      <c r="F715" s="25"/>
      <c r="G715" s="27"/>
      <c r="H715" s="27"/>
      <c r="I715" s="25"/>
      <c r="J715" s="27"/>
      <c r="K715" s="27"/>
      <c r="L715" s="25"/>
      <c r="M715" s="27"/>
      <c r="N715" s="27"/>
      <c r="O715" s="25"/>
      <c r="P715" s="25"/>
    </row>
    <row r="716" spans="1:16" ht="12.75">
      <c r="A716" s="25"/>
      <c r="B716" s="212"/>
      <c r="C716" s="25"/>
      <c r="D716" s="25"/>
      <c r="E716" s="25"/>
      <c r="F716" s="25"/>
      <c r="G716" s="27"/>
      <c r="H716" s="27"/>
      <c r="I716" s="25"/>
      <c r="J716" s="27"/>
      <c r="K716" s="27"/>
      <c r="L716" s="25"/>
      <c r="M716" s="27"/>
      <c r="N716" s="27"/>
      <c r="O716" s="25"/>
      <c r="P716" s="25"/>
    </row>
    <row r="717" spans="1:16" ht="12.75">
      <c r="A717" s="25"/>
      <c r="B717" s="212"/>
      <c r="C717" s="25"/>
      <c r="D717" s="25"/>
      <c r="E717" s="25"/>
      <c r="F717" s="25"/>
      <c r="G717" s="27"/>
      <c r="H717" s="27"/>
      <c r="I717" s="25"/>
      <c r="J717" s="27"/>
      <c r="K717" s="27"/>
      <c r="L717" s="25"/>
      <c r="M717" s="27"/>
      <c r="N717" s="27"/>
      <c r="O717" s="25"/>
      <c r="P717" s="25"/>
    </row>
    <row r="718" spans="1:16" ht="12.75">
      <c r="A718" s="25"/>
      <c r="B718" s="212"/>
      <c r="C718" s="25"/>
      <c r="D718" s="25"/>
      <c r="E718" s="25"/>
      <c r="F718" s="25"/>
      <c r="G718" s="27"/>
      <c r="H718" s="27"/>
      <c r="I718" s="25"/>
      <c r="J718" s="27"/>
      <c r="K718" s="27"/>
      <c r="L718" s="25"/>
      <c r="M718" s="27"/>
      <c r="N718" s="27"/>
      <c r="O718" s="25"/>
      <c r="P718" s="25"/>
    </row>
    <row r="719" spans="1:16" ht="12.75">
      <c r="A719" s="25"/>
      <c r="B719" s="212"/>
      <c r="C719" s="25"/>
      <c r="D719" s="25"/>
      <c r="E719" s="25"/>
      <c r="F719" s="25"/>
      <c r="G719" s="27"/>
      <c r="H719" s="27"/>
      <c r="I719" s="25"/>
      <c r="J719" s="27"/>
      <c r="K719" s="27"/>
      <c r="L719" s="25"/>
      <c r="M719" s="27"/>
      <c r="N719" s="27"/>
      <c r="O719" s="25"/>
      <c r="P719" s="25"/>
    </row>
    <row r="720" spans="1:16" ht="12.75">
      <c r="A720" s="25"/>
      <c r="B720" s="212"/>
      <c r="C720" s="25"/>
      <c r="D720" s="25"/>
      <c r="E720" s="25"/>
      <c r="F720" s="25"/>
      <c r="G720" s="27"/>
      <c r="H720" s="27"/>
      <c r="I720" s="25"/>
      <c r="J720" s="27"/>
      <c r="K720" s="27"/>
      <c r="L720" s="25"/>
      <c r="M720" s="27"/>
      <c r="N720" s="27"/>
      <c r="O720" s="25"/>
      <c r="P720" s="25"/>
    </row>
    <row r="721" spans="1:16" ht="12.75">
      <c r="A721" s="25"/>
      <c r="B721" s="212"/>
      <c r="C721" s="25"/>
      <c r="D721" s="25"/>
      <c r="E721" s="25"/>
      <c r="F721" s="25"/>
      <c r="G721" s="27"/>
      <c r="H721" s="27"/>
      <c r="I721" s="25"/>
      <c r="J721" s="27"/>
      <c r="K721" s="27"/>
      <c r="L721" s="25"/>
      <c r="M721" s="27"/>
      <c r="N721" s="27"/>
      <c r="O721" s="25"/>
      <c r="P721" s="25"/>
    </row>
    <row r="722" spans="1:16" ht="12.75">
      <c r="A722" s="25"/>
      <c r="B722" s="212"/>
      <c r="C722" s="25"/>
      <c r="D722" s="25"/>
      <c r="E722" s="25"/>
      <c r="F722" s="25"/>
      <c r="G722" s="27"/>
      <c r="H722" s="27"/>
      <c r="I722" s="25"/>
      <c r="J722" s="27"/>
      <c r="K722" s="27"/>
      <c r="L722" s="25"/>
      <c r="M722" s="27"/>
      <c r="N722" s="27"/>
      <c r="O722" s="25"/>
      <c r="P722" s="25"/>
    </row>
    <row r="723" spans="1:16" ht="12.75">
      <c r="A723" s="25"/>
      <c r="B723" s="212"/>
      <c r="C723" s="25"/>
      <c r="D723" s="25"/>
      <c r="E723" s="25"/>
      <c r="F723" s="25"/>
      <c r="G723" s="27"/>
      <c r="H723" s="27"/>
      <c r="I723" s="25"/>
      <c r="J723" s="27"/>
      <c r="K723" s="27"/>
      <c r="L723" s="25"/>
      <c r="M723" s="27"/>
      <c r="N723" s="27"/>
      <c r="O723" s="25"/>
      <c r="P723" s="25"/>
    </row>
    <row r="724" spans="1:16" ht="12.75">
      <c r="A724" s="25"/>
      <c r="B724" s="212"/>
      <c r="C724" s="25"/>
      <c r="D724" s="25"/>
      <c r="E724" s="25"/>
      <c r="F724" s="25"/>
      <c r="G724" s="27"/>
      <c r="H724" s="27"/>
      <c r="I724" s="25"/>
      <c r="J724" s="27"/>
      <c r="K724" s="27"/>
      <c r="L724" s="25"/>
      <c r="M724" s="27"/>
      <c r="N724" s="27"/>
      <c r="O724" s="25"/>
      <c r="P724" s="25"/>
    </row>
    <row r="725" spans="1:16" ht="12.75">
      <c r="A725" s="25"/>
      <c r="B725" s="212"/>
      <c r="C725" s="25"/>
      <c r="D725" s="25"/>
      <c r="E725" s="25"/>
      <c r="F725" s="25"/>
      <c r="G725" s="27"/>
      <c r="H725" s="27"/>
      <c r="I725" s="25"/>
      <c r="J725" s="27"/>
      <c r="K725" s="27"/>
      <c r="L725" s="25"/>
      <c r="M725" s="27"/>
      <c r="N725" s="27"/>
      <c r="O725" s="25"/>
      <c r="P725" s="25"/>
    </row>
    <row r="726" spans="1:16" ht="12.75">
      <c r="A726" s="25"/>
      <c r="B726" s="212"/>
      <c r="C726" s="25"/>
      <c r="D726" s="25"/>
      <c r="E726" s="25"/>
      <c r="F726" s="25"/>
      <c r="G726" s="27"/>
      <c r="H726" s="27"/>
      <c r="I726" s="25"/>
      <c r="J726" s="27"/>
      <c r="K726" s="27"/>
      <c r="L726" s="25"/>
      <c r="M726" s="27"/>
      <c r="N726" s="27"/>
      <c r="O726" s="25"/>
      <c r="P726" s="25"/>
    </row>
    <row r="727" spans="1:16" ht="12.75">
      <c r="A727" s="25"/>
      <c r="B727" s="212"/>
      <c r="C727" s="25"/>
      <c r="D727" s="25"/>
      <c r="E727" s="25"/>
      <c r="F727" s="25"/>
      <c r="G727" s="27"/>
      <c r="H727" s="27"/>
      <c r="I727" s="25"/>
      <c r="J727" s="27"/>
      <c r="K727" s="27"/>
      <c r="L727" s="25"/>
      <c r="M727" s="27"/>
      <c r="N727" s="27"/>
      <c r="O727" s="25"/>
      <c r="P727" s="25"/>
    </row>
    <row r="728" spans="1:16" ht="12.75">
      <c r="A728" s="25"/>
      <c r="B728" s="212"/>
      <c r="C728" s="25"/>
      <c r="D728" s="25"/>
      <c r="E728" s="25"/>
      <c r="F728" s="25"/>
      <c r="G728" s="27"/>
      <c r="H728" s="27"/>
      <c r="I728" s="25"/>
      <c r="J728" s="27"/>
      <c r="K728" s="27"/>
      <c r="L728" s="25"/>
      <c r="M728" s="27"/>
      <c r="N728" s="27"/>
      <c r="O728" s="25"/>
      <c r="P728" s="25"/>
    </row>
    <row r="729" spans="1:16" ht="12.75">
      <c r="A729" s="25"/>
      <c r="B729" s="212"/>
      <c r="C729" s="25"/>
      <c r="D729" s="25"/>
      <c r="E729" s="25"/>
      <c r="F729" s="25"/>
      <c r="G729" s="27"/>
      <c r="H729" s="27"/>
      <c r="I729" s="25"/>
      <c r="J729" s="27"/>
      <c r="K729" s="27"/>
      <c r="L729" s="25"/>
      <c r="M729" s="27"/>
      <c r="N729" s="27"/>
      <c r="O729" s="25"/>
      <c r="P729" s="25"/>
    </row>
    <row r="730" spans="1:16" ht="12.75">
      <c r="A730" s="25"/>
      <c r="B730" s="212"/>
      <c r="C730" s="25"/>
      <c r="D730" s="25"/>
      <c r="E730" s="25"/>
      <c r="F730" s="25"/>
      <c r="G730" s="27"/>
      <c r="H730" s="27"/>
      <c r="I730" s="25"/>
      <c r="J730" s="27"/>
      <c r="K730" s="27"/>
      <c r="L730" s="25"/>
      <c r="M730" s="27"/>
      <c r="N730" s="27"/>
      <c r="O730" s="25"/>
      <c r="P730" s="25"/>
    </row>
    <row r="731" spans="1:16" ht="12.75">
      <c r="A731" s="25"/>
      <c r="B731" s="212"/>
      <c r="C731" s="25"/>
      <c r="D731" s="25"/>
      <c r="E731" s="25"/>
      <c r="F731" s="25"/>
      <c r="G731" s="27"/>
      <c r="H731" s="27"/>
      <c r="I731" s="25"/>
      <c r="J731" s="27"/>
      <c r="K731" s="27"/>
      <c r="L731" s="25"/>
      <c r="M731" s="27"/>
      <c r="N731" s="27"/>
      <c r="O731" s="25"/>
      <c r="P731" s="25"/>
    </row>
    <row r="732" spans="1:16" ht="12.75">
      <c r="A732" s="25"/>
      <c r="B732" s="212"/>
      <c r="C732" s="25"/>
      <c r="D732" s="25"/>
      <c r="E732" s="25"/>
      <c r="F732" s="25"/>
      <c r="G732" s="27"/>
      <c r="H732" s="27"/>
      <c r="I732" s="25"/>
      <c r="J732" s="27"/>
      <c r="K732" s="27"/>
      <c r="L732" s="25"/>
      <c r="M732" s="27"/>
      <c r="N732" s="27"/>
      <c r="O732" s="25"/>
      <c r="P732" s="25"/>
    </row>
    <row r="733" spans="1:14" ht="12.75">
      <c r="A733" s="25"/>
      <c r="B733" s="212"/>
      <c r="C733" s="25"/>
      <c r="D733" s="25"/>
      <c r="E733" s="25"/>
      <c r="F733" s="25"/>
      <c r="G733" s="27"/>
      <c r="H733" s="27"/>
      <c r="I733" s="25"/>
      <c r="J733" s="27"/>
      <c r="K733" s="27"/>
      <c r="L733" s="25"/>
      <c r="M733" s="27"/>
      <c r="N733" s="27"/>
    </row>
    <row r="734" spans="1:14" ht="12.75">
      <c r="A734" s="25"/>
      <c r="B734" s="212"/>
      <c r="C734" s="25"/>
      <c r="D734" s="25"/>
      <c r="E734" s="25"/>
      <c r="F734" s="25"/>
      <c r="G734" s="27"/>
      <c r="H734" s="27"/>
      <c r="I734" s="25"/>
      <c r="J734" s="27"/>
      <c r="K734" s="27"/>
      <c r="L734" s="25"/>
      <c r="M734" s="27"/>
      <c r="N734" s="27"/>
    </row>
    <row r="735" spans="1:14" ht="12.75">
      <c r="A735" s="25"/>
      <c r="B735" s="212"/>
      <c r="C735" s="25"/>
      <c r="D735" s="25"/>
      <c r="E735" s="25"/>
      <c r="F735" s="25"/>
      <c r="G735" s="27"/>
      <c r="H735" s="27"/>
      <c r="I735" s="25"/>
      <c r="J735" s="27"/>
      <c r="K735" s="27"/>
      <c r="L735" s="25"/>
      <c r="M735" s="27"/>
      <c r="N735" s="27"/>
    </row>
    <row r="736" spans="1:14" ht="12.75">
      <c r="A736" s="25"/>
      <c r="B736" s="212"/>
      <c r="C736" s="25"/>
      <c r="D736" s="25"/>
      <c r="E736" s="25"/>
      <c r="F736" s="25"/>
      <c r="G736" s="27"/>
      <c r="H736" s="27"/>
      <c r="I736" s="25"/>
      <c r="J736" s="27"/>
      <c r="K736" s="27"/>
      <c r="L736" s="25"/>
      <c r="M736" s="27"/>
      <c r="N736" s="27"/>
    </row>
    <row r="737" spans="1:14" ht="12.75">
      <c r="A737" s="25"/>
      <c r="B737" s="212"/>
      <c r="C737" s="25"/>
      <c r="D737" s="25"/>
      <c r="E737" s="25"/>
      <c r="F737" s="25"/>
      <c r="G737" s="27"/>
      <c r="H737" s="27"/>
      <c r="I737" s="25"/>
      <c r="J737" s="27"/>
      <c r="K737" s="27"/>
      <c r="L737" s="25"/>
      <c r="M737" s="27"/>
      <c r="N737" s="27"/>
    </row>
    <row r="738" spans="1:14" ht="12.75">
      <c r="A738" s="25"/>
      <c r="B738" s="212"/>
      <c r="C738" s="25"/>
      <c r="D738" s="25"/>
      <c r="E738" s="25"/>
      <c r="F738" s="25"/>
      <c r="G738" s="27"/>
      <c r="H738" s="27"/>
      <c r="I738" s="25"/>
      <c r="J738" s="27"/>
      <c r="K738" s="27"/>
      <c r="L738" s="25"/>
      <c r="M738" s="27"/>
      <c r="N738" s="27"/>
    </row>
    <row r="739" spans="1:14" ht="12.75">
      <c r="A739" s="25"/>
      <c r="B739" s="212"/>
      <c r="C739" s="25"/>
      <c r="D739" s="25"/>
      <c r="E739" s="25"/>
      <c r="F739" s="25"/>
      <c r="G739" s="27"/>
      <c r="H739" s="27"/>
      <c r="I739" s="25"/>
      <c r="J739" s="27"/>
      <c r="K739" s="27"/>
      <c r="L739" s="25"/>
      <c r="M739" s="27"/>
      <c r="N739" s="27"/>
    </row>
    <row r="740" spans="1:14" ht="12.75">
      <c r="A740" s="25"/>
      <c r="B740" s="212"/>
      <c r="C740" s="25"/>
      <c r="D740" s="25"/>
      <c r="E740" s="25"/>
      <c r="F740" s="25"/>
      <c r="G740" s="27"/>
      <c r="H740" s="27"/>
      <c r="I740" s="25"/>
      <c r="J740" s="27"/>
      <c r="K740" s="27"/>
      <c r="L740" s="25"/>
      <c r="M740" s="27"/>
      <c r="N740" s="27"/>
    </row>
    <row r="741" spans="1:14" ht="12.75">
      <c r="A741" s="25"/>
      <c r="B741" s="212"/>
      <c r="C741" s="25"/>
      <c r="D741" s="25"/>
      <c r="E741" s="25"/>
      <c r="F741" s="25"/>
      <c r="G741" s="27"/>
      <c r="H741" s="27"/>
      <c r="I741" s="25"/>
      <c r="J741" s="27"/>
      <c r="K741" s="27"/>
      <c r="L741" s="25"/>
      <c r="M741" s="27"/>
      <c r="N741" s="27"/>
    </row>
  </sheetData>
  <sheetProtection selectLockedCells="1" selectUnlockedCells="1"/>
  <autoFilter ref="A8:N615"/>
  <mergeCells count="11">
    <mergeCell ref="M6:N6"/>
    <mergeCell ref="C6:C7"/>
    <mergeCell ref="F6:F7"/>
    <mergeCell ref="G6:H6"/>
    <mergeCell ref="I6:I7"/>
    <mergeCell ref="J6:K6"/>
    <mergeCell ref="L6:L7"/>
    <mergeCell ref="A6:A7"/>
    <mergeCell ref="D6:D7"/>
    <mergeCell ref="E6:E7"/>
    <mergeCell ref="B6:B7"/>
  </mergeCells>
  <printOptions/>
  <pageMargins left="0.20972222222222223" right="0" top="0.7868055555555555" bottom="0.29" header="0.19652777777777777" footer="0.16"/>
  <pageSetup horizontalDpi="300" verticalDpi="300" orientation="landscape" paperSize="9" scale="7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Резанова</cp:lastModifiedBy>
  <cp:lastPrinted>2018-10-31T14:02:14Z</cp:lastPrinted>
  <dcterms:created xsi:type="dcterms:W3CDTF">2017-09-06T13:46:58Z</dcterms:created>
  <dcterms:modified xsi:type="dcterms:W3CDTF">2018-10-31T14:02:19Z</dcterms:modified>
  <cp:category/>
  <cp:version/>
  <cp:contentType/>
  <cp:contentStatus/>
</cp:coreProperties>
</file>